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cac28e06ab40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st decision" sheetId="1" r:id="R8439a9839b17470a"/>
    <x:sheet xmlns:r="http://schemas.openxmlformats.org/officeDocument/2006/relationships" name="Cost inputs" sheetId="2" r:id="Rb0088d29936e4936"/>
    <x:sheet xmlns:r="http://schemas.openxmlformats.org/officeDocument/2006/relationships" name="Media costs" sheetId="3" r:id="Rbf405dbc65e1422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mmm d, yyyy"/>
    <x:numFmt numFmtId="201" formatCode="$#,##0.00;($#,##0.00);&quot;-&quot;"/>
    <x:numFmt numFmtId="202" formatCode="0.0%;(0.0%);&quot;-&quot;"/>
    <x:numFmt numFmtId="203" formatCode="0.00"/>
    <x:numFmt numFmtId="204" formatCode="mmm-yy"/>
    <x:numFmt numFmtId="205" formatCode="0.0"/>
  </x:numFmts>
  <x:fonts count="6">
    <x:font>
      <x:sz val="11"/>
      <x:name val="Carlito"/>
    </x:font>
    <x:font>
      <x:sz val="11"/>
      <x:color rgb="FF19212B"/>
      <x:name val="Arial"/>
    </x:font>
    <x:font>
      <x:b/>
      <x:sz val="17"/>
      <x:color rgb="FF19212B"/>
      <x:name val="Arial"/>
    </x:font>
    <x:font>
      <x:b/>
      <x:sz val="11"/>
      <x:color rgb="FF19212B"/>
      <x:name val="Arial"/>
    </x:font>
    <x:font>
      <x:sz val="11"/>
      <x:color rgb="FF1759C6"/>
      <x:name val="Arial"/>
    </x:font>
    <x:font>
      <x:sz val="11"/>
      <x:color rgb="FF187346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EDF0F2"/>
      </x:patternFill>
    </x:fill>
    <x:fill>
      <x:patternFill patternType="solid">
        <x:fgColor rgb="FFFFF8DE"/>
      </x:patternFill>
    </x:fill>
    <x:fill>
      <x:patternFill patternType="solid">
        <x:fgColor rgb="FFFFFFFF"/>
      </x:patternFill>
    </x:fill>
    <x:fill>
      <x:patternFill patternType="solid">
        <x:fgColor rgb="FFE8EDF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200" fontId="4" fillId="3" borderId="0" xfId="0" applyNumberFormat="1" applyFont="1" applyFill="1" applyBorder="1" applyAlignment="1">
      <x:alignment vertical="center"/>
    </x:xf>
    <x:xf numFmtId="202" fontId="4" fillId="3" borderId="0" xfId="0" applyNumberFormat="1" applyFont="1" applyFill="1" applyBorder="1" applyAlignment="1">
      <x:alignment vertical="center"/>
    </x:xf>
    <x:xf numFmtId="201" fontId="5" fillId="4" borderId="0" xfId="0" applyNumberFormat="1" applyFont="1" applyFill="1" applyBorder="1" applyAlignment="1">
      <x:alignment vertical="center"/>
    </x:xf>
    <x:xf numFmtId="201" fontId="4" fillId="3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0" fontId="3" fillId="5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204" fontId="1" fillId="0" borderId="0" xfId="0" applyNumberFormat="1" applyFont="1" applyFill="1" applyBorder="1" applyAlignment="1">
      <x:alignment vertical="center"/>
    </x:xf>
    <x:xf numFmtId="205" fontId="1" fillId="0" borderId="0" xfId="0" applyNumberFormat="1" applyFont="1" applyFill="1" applyBorder="1" applyAlignment="1">
      <x:alignment vertical="center"/>
    </x:xf>
    <x:xf numFmtId="201" fontId="1" fillId="2" borderId="0" xfId="0" applyNumberFormat="1" applyFont="1" applyFill="1" applyBorder="1" applyAlignment="1">
      <x:alignment vertical="center"/>
    </x:xf>
    <x:xf numFmtId="201" fontId="3" fillId="2" borderId="0" xfId="0" applyNumberFormat="1" applyFont="1" applyFill="1" applyBorder="1" applyAlignment="1">
      <x:alignment vertical="center"/>
    </x:xf>
    <x:xf numFmtId="201" fontId="3" fillId="2" borderId="0" xfId="0" applyNumberFormat="1" applyFont="1" applyFill="1" applyBorder="1" applyAlignment="1">
      <x:alignment vertical="center" wrapText="1"/>
    </x:xf>
    <x:xf numFmtId="201" fontId="3" fillId="5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2">
    <x:dxf>
      <x:font>
        <x:b/>
        <x:color rgb="FFA51D2D"/>
      </x:font>
      <x:fill>
        <x:patternFill patternType="solid">
          <x:bgColor rgb="FFFBE4E4"/>
        </x:patternFill>
      </x:fill>
    </x:dxf>
    <x:dxf>
      <x:font>
        <x:b/>
        <x:color rgb="FFA51D2D"/>
      </x:font>
      <x:fill>
        <x:patternFill patternType="solid">
          <x:bgColor rgb="FFFBE4E4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fb15528fc3405e" /><Relationship Type="http://schemas.openxmlformats.org/officeDocument/2006/relationships/theme" Target="/xl/theme/theme1.xml" Id="Rc87336c711b941e3" /><Relationship Type="http://schemas.openxmlformats.org/officeDocument/2006/relationships/sharedStrings" Target="/xl/sharedStrings.xml" Id="Rfc037cce53f34aca" /><Relationship Type="http://schemas.openxmlformats.org/officeDocument/2006/relationships/worksheet" Target="/xl/worksheets/sheet1.xml" Id="R8439a9839b17470a" /><Relationship Type="http://schemas.openxmlformats.org/officeDocument/2006/relationships/worksheet" Target="/xl/worksheets/sheet2.xml" Id="Rb0088d29936e4936" /><Relationship Type="http://schemas.openxmlformats.org/officeDocument/2006/relationships/worksheet" Target="/xl/worksheets/sheet3.xml" Id="Rbf405dbc65e1422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.2200000286102295" hidden="0" customWidth="1"/>
    <x:col min="2" max="2" width="2.2200000286102295" hidden="0" customWidth="1"/>
    <x:col min="3" max="3" width="37.220001220703125" hidden="0" customWidth="1"/>
    <x:col min="4" max="4" width="13.890000343322754" hidden="0" customWidth="1"/>
    <x:col min="5" max="5" width="13.890000343322754" hidden="0" customWidth="1"/>
    <x:col min="6" max="6" width="14.4399995803833" hidden="0" customWidth="1"/>
    <x:col min="7" max="7" width="14.4399995803833" hidden="0" customWidth="1"/>
    <x:col min="8" max="8" width="14.4399995803833" hidden="0" customWidth="1"/>
    <x:col min="9" max="9" width="14.4399995803833" hidden="0" customWidth="1"/>
    <x:col min="10" max="10" width="14.4399995803833" hidden="0" customWidth="1"/>
    <x:col min="11" max="11" width="14.4399995803833" hidden="0" customWidth="1"/>
    <x:col min="12" max="12" width="14.4399995803833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34" customHeight="1">
      <x:c r="A2" s="2"/>
      <x:c r="B2" s="2"/>
      <x:c r="C2" s="4" t="str">
        <x:v>Keep custom or move to managed media?</x:v>
      </x:c>
      <x:c r="D2" s="4"/>
      <x:c r="E2" s="4"/>
      <x:c r="F2" s="4"/>
      <x:c r="G2" s="4"/>
      <x:c r="H2" s="4"/>
      <x:c r="I2" s="4"/>
      <x:c r="J2" s="4"/>
      <x:c r="K2" s="4"/>
      <x:c r="L2" s="4"/>
    </x:row>
    <x:row r="3" ht="30" customHeight="1">
      <x:c r="A3" s="2"/>
      <x:c r="B3" s="2"/>
      <x:c r="C3" s="3" t="str">
        <x:v>Twelve-month cash and maintenance comparison. Conditional on the entered assumptions.</x:v>
      </x:c>
      <x:c r="D3" s="3"/>
      <x:c r="E3" s="3"/>
      <x:c r="F3" s="3"/>
      <x:c r="G3" s="3"/>
      <x:c r="H3" s="3"/>
      <x:c r="I3" s="3"/>
      <x:c r="J3" s="3"/>
      <x:c r="K3" s="3"/>
      <x:c r="L3" s="3"/>
    </x:row>
    <x:row r="4" ht="26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</x:row>
    <x:row r="5" ht="26" customHeight="1">
      <x:c r="A5" s="2"/>
      <x:c r="B5" s="2"/>
      <x:c r="C5" s="7" t="str">
        <x:v>USD unless stated</x:v>
      </x:c>
      <x:c r="D5" s="7" t="str">
        <x:v>Custom</x:v>
      </x:c>
      <x:c r="E5" s="7" t="str">
        <x:v>Managed</x:v>
      </x:c>
      <x:c r="F5" s="2"/>
      <x:c r="G5" s="2"/>
      <x:c r="H5" s="2"/>
      <x:c r="I5" s="2"/>
      <x:c r="J5" s="2"/>
      <x:c r="K5" s="2"/>
      <x:c r="L5" s="2"/>
    </x:row>
    <x:row r="6" ht="26" customHeight="1">
      <x:c r="A6" s="2"/>
      <x:c r="B6" s="2"/>
      <x:c r="C6" s="2" t="str">
        <x:v>Cash cost</x:v>
      </x:c>
      <x:c r="D6" s="9" t="n">
        <x:f>IF(COUNT(F30:F41)=12,SUM(F30:F41),"n.a.")</x:f>
        <x:v>74.34</x:v>
      </x:c>
      <x:c r="E6" s="9" t="n">
        <x:f>IF(COUNT(G30:G41)=12,SUM(G30:G41),"n.a.")</x:f>
        <x:v>1428</x:v>
      </x:c>
      <x:c r="F6" s="2"/>
      <x:c r="G6" s="2"/>
      <x:c r="H6" s="2"/>
      <x:c r="I6" s="2"/>
      <x:c r="J6" s="2"/>
      <x:c r="K6" s="2"/>
      <x:c r="L6" s="2"/>
    </x:row>
    <x:row r="7" ht="26" customHeight="1">
      <x:c r="A7" s="2"/>
      <x:c r="B7" s="2"/>
      <x:c r="C7" s="2" t="str">
        <x:v>Maintenance and switching time</x:v>
      </x:c>
      <x:c r="D7" s="9" t="n">
        <x:f>IF(COUNT(H30:H41)=12,SUM(H30:H41),"n.a.")</x:f>
        <x:v>600</x:v>
      </x:c>
      <x:c r="E7" s="9" t="n">
        <x:f>IF(COUNT(I30:I41)=12,SUM(I30:I41),"n.a.")</x:f>
        <x:v>250</x:v>
      </x:c>
      <x:c r="F7" s="2"/>
      <x:c r="G7" s="2"/>
      <x:c r="H7" s="2"/>
      <x:c r="I7" s="2"/>
      <x:c r="J7" s="2"/>
      <x:c r="K7" s="2"/>
      <x:c r="L7" s="2"/>
    </x:row>
    <x:row r="8" ht="26" customHeight="1">
      <x:c r="A8" s="2"/>
      <x:c r="B8" s="2"/>
      <x:c r="C8" s="20" t="str">
        <x:v>Economic cost</x:v>
      </x:c>
      <x:c r="D8" s="27" t="n">
        <x:f>IF(COUNT(J30:J41)=12,SUM(J30:J41),"n.a.")</x:f>
        <x:v>674.3400000000001</x:v>
      </x:c>
      <x:c r="E8" s="27" t="n">
        <x:f>IF(COUNT(K30:K41)=12,SUM(K30:K41),"n.a.")</x:f>
        <x:v>1678</x:v>
      </x:c>
      <x:c r="F8" s="2"/>
      <x:c r="G8" s="2"/>
      <x:c r="H8" s="2"/>
      <x:c r="I8" s="2"/>
      <x:c r="J8" s="2"/>
      <x:c r="K8" s="2"/>
      <x:c r="L8" s="2"/>
    </x:row>
    <x:row r="9" ht="26" customHeight="1">
      <x:c r="A9" s="2"/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</x:row>
    <x:row r="10" ht="27" customHeight="1">
      <x:c r="A10" s="2"/>
      <x:c r="B10" s="2"/>
      <x:c r="C10" s="2" t="str">
        <x:v>Custom cash below managed</x:v>
      </x:c>
      <x:c r="D10" s="10" t="n">
        <x:f>IF(AND(ISNUMBER(D6),ISNUMBER(E6),E6&gt;0),1-D6/E6,"n.a.")</x:f>
        <x:v>0.9479411764705883</x:v>
      </x:c>
      <x:c r="E10" s="2"/>
      <x:c r="F10" s="3" t="str">
        <x:v>The threshold includes managed oversight and one-time switching effort. Above it, custom costs more under the same assumptions. Percentages are relative to the managed option. Negative percentages mean custom costs more.</x:v>
      </x:c>
      <x:c r="G10" s="3"/>
      <x:c r="H10" s="3"/>
      <x:c r="I10" s="3"/>
      <x:c r="J10" s="3"/>
      <x:c r="K10" s="3"/>
      <x:c r="L10" s="3"/>
    </x:row>
    <x:row r="11" ht="27" customHeight="1">
      <x:c r="A11" s="2"/>
      <x:c r="B11" s="2"/>
      <x:c r="C11" s="2" t="str">
        <x:v>Custom economic cost below managed</x:v>
      </x:c>
      <x:c r="D11" s="10" t="n">
        <x:f>IF(AND(ISNUMBER(D8),ISNUMBER(E8),E8&gt;0),1-D8/E8,"n.a.")</x:f>
        <x:v>0.5981287246722288</x:v>
      </x:c>
      <x:c r="E11" s="2"/>
      <x:c r="F11" s="3"/>
      <x:c r="G11" s="3"/>
      <x:c r="H11" s="3"/>
      <x:c r="I11" s="3"/>
      <x:c r="J11" s="3"/>
      <x:c r="K11" s="3"/>
      <x:c r="L11" s="3"/>
    </x:row>
    <x:row r="12" ht="27" customHeight="1">
      <x:c r="A12" s="2"/>
      <x:c r="B12" s="2"/>
      <x:c r="C12" s="2" t="str">
        <x:v>Break-even custom hours/month</x:v>
      </x:c>
      <x:c r="D12" s="21" t="n">
        <x:f>IF(AND(ISNUMBER(E8),ISNUMBER(D6),'Cost inputs'!D12&gt;0),(E8-D6)/(12*'Cost inputs'!D12),"n.a.")</x:f>
        <x:v>2.672766666666667</x:v>
      </x:c>
      <x:c r="E12" s="2"/>
      <x:c r="F12" s="3"/>
      <x:c r="G12" s="3"/>
      <x:c r="H12" s="3"/>
      <x:c r="I12" s="3"/>
      <x:c r="J12" s="3"/>
      <x:c r="K12" s="3"/>
      <x:c r="L12" s="3"/>
    </x:row>
    <x:row r="13" ht="26" customHeight="1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</x:row>
    <x:row r="14" ht="26" customHeight="1">
      <x:c r="A14" s="2"/>
      <x:c r="B14" s="2"/>
      <x:c r="C14" s="2" t="str">
        <x:v>Storage fits selected plan</x:v>
      </x:c>
      <x:c r="D14" s="2" t="str">
        <x:f>IF(COUNT(D30:D41)&lt;&gt;12,"UNKNOWN",IF(MAX(D30:D41)&lt;='Cost inputs'!D26,"PASS","FAIL"))</x:f>
        <x:v>PASS</x:v>
      </x:c>
      <x:c r="E14" s="2"/>
      <x:c r="F14" s="2"/>
      <x:c r="G14" s="2"/>
      <x:c r="H14" s="2"/>
      <x:c r="I14" s="2"/>
      <x:c r="J14" s="2"/>
      <x:c r="K14" s="2"/>
      <x:c r="L14" s="2"/>
    </x:row>
    <x:row r="15" ht="26" customHeight="1">
      <x:c r="A15" s="2"/>
      <x:c r="B15" s="2"/>
      <x:c r="C15" s="2" t="str">
        <x:v>Bandwidth fits selected plan</x:v>
      </x:c>
      <x:c r="D15" s="2" t="str">
        <x:f>IF(COUNT(E30:E41)&lt;&gt;12,"UNKNOWN",IF(MAX(E30:E41)&lt;='Cost inputs'!D27,"PASS","FAIL"))</x:f>
        <x:v>UNKNOWN</x:v>
      </x:c>
      <x:c r="E15" s="2"/>
      <x:c r="F15" s="2"/>
      <x:c r="G15" s="2"/>
      <x:c r="H15" s="2"/>
      <x:c r="I15" s="2"/>
      <x:c r="J15" s="2"/>
      <x:c r="K15" s="2"/>
      <x:c r="L15" s="2"/>
    </x:row>
    <x:row r="16" ht="26" customHeight="1">
      <x:c r="A16" s="2"/>
      <x:c r="B16" s="2"/>
      <x:c r="C16" s="2" t="str">
        <x:v>Capabilities confirmed</x:v>
      </x:c>
      <x:c r="D16" s="2" t="str">
        <x:f>IF('Cost inputs'!D17=1,"YES","UNKNOWN")</x:f>
        <x:v>UNKNOWN</x:v>
      </x:c>
      <x:c r="E16" s="2"/>
      <x:c r="F16" s="2"/>
      <x:c r="G16" s="2"/>
      <x:c r="H16" s="2"/>
      <x:c r="I16" s="2"/>
      <x:c r="J16" s="2"/>
      <x:c r="K16" s="2"/>
      <x:c r="L16" s="2"/>
    </x:row>
    <x:row r="17" ht="32" customHeight="1">
      <x:c r="A17" s="2"/>
      <x:c r="B17" s="2"/>
      <x:c r="C17" s="2" t="str">
        <x:v>Comparison status</x:v>
      </x:c>
      <x:c r="D17" s="3" t="str">
        <x:f>IF('Cost inputs'!D28&lt;&gt;"Ready","Needs valid inputs",IF(OR(D14="FAIL",D15="FAIL"),"Managed plan is ineligible",IF(OR(D15="UNKNOWN",D16="UNKNOWN"),"Conditional: confirm bandwidth and capabilities","Comparable under entered assumptions")))</x:f>
        <x:v>Conditional: confirm bandwidth and capabilities</x:v>
      </x:c>
      <x:c r="E17" s="3"/>
      <x:c r="F17" s="3"/>
      <x:c r="G17" s="3"/>
      <x:c r="H17" s="3"/>
      <x:c r="I17" s="3"/>
      <x:c r="J17" s="3"/>
      <x:c r="K17" s="3"/>
      <x:c r="L17" s="3"/>
    </x:row>
    <x:row r="18" ht="26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</x:row>
    <x:row r="19" ht="30" customHeight="1">
      <x:c r="A19" s="2"/>
      <x:c r="B19" s="2"/>
      <x:c r="C19" s="2" t="str">
        <x:v>Cost result</x:v>
      </x:c>
      <x:c r="D19" s="3" t="str">
        <x:f>IF(AND(ISNUMBER(D8),ISNUMBER(E8)),IF(D8&lt;E8,"Custom has lower modeled economic cost",IF(D8&gt;E8,"Managed has lower modeled economic cost","Modeled economic costs are equal")),"Needs valid inputs")</x:f>
        <x:v>Custom has lower modeled economic cost</x:v>
      </x:c>
      <x:c r="E19" s="3"/>
      <x:c r="F19" s="3"/>
      <x:c r="G19" s="3"/>
      <x:c r="H19" s="3"/>
      <x:c r="I19" s="3"/>
      <x:c r="J19" s="3"/>
      <x:c r="K19" s="3"/>
      <x:c r="L19" s="3"/>
    </x:row>
    <x:row r="20" ht="34" customHeight="1">
      <x:c r="A20" s="2"/>
      <x:c r="B20" s="2"/>
      <x:c r="C20" s="2" t="str">
        <x:v>Decision</x:v>
      </x:c>
      <x:c r="D20" s="3" t="str">
        <x:f>IF(D17="Managed plan is ineligible","Do not select this managed plan: capacity fails",IF(D17="Needs valid inputs","Complete the missing or invalid inputs",IF(D17="Conditional: confirm bandwidth and capabilities","Cost result is conditional. Verify service requirements before switching.","Use the cost result after validating allocation and operating assumptions.")))</x:f>
        <x:v>Cost result is conditional. Verify service requirements before switching.</x:v>
      </x:c>
      <x:c r="E20" s="3"/>
      <x:c r="F20" s="3"/>
      <x:c r="G20" s="3"/>
      <x:c r="H20" s="3"/>
      <x:c r="I20" s="3"/>
      <x:c r="J20" s="3"/>
      <x:c r="K20" s="3"/>
      <x:c r="L20" s="3"/>
    </x:row>
    <x:row r="21" ht="26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</x:row>
    <x:row r="22" ht="32" customHeight="1">
      <x:c r="A22" s="2"/>
      <x:c r="B22" s="2"/>
      <x:c r="C22" s="3" t="str">
        <x:v>Economic cost = cash plus modeled value of time. Invoice issue-month forecasts are not recognized accounting expense. Storage and bandwidth checks use assumed requirements.</x:v>
      </x:c>
      <x:c r="D22" s="3"/>
      <x:c r="E22" s="3"/>
      <x:c r="F22" s="3"/>
      <x:c r="G22" s="3"/>
      <x:c r="H22" s="3"/>
      <x:c r="I22" s="3"/>
      <x:c r="J22" s="3"/>
      <x:c r="K22" s="3"/>
      <x:c r="L22" s="3"/>
    </x:row>
    <x:row r="23" ht="26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</x:row>
    <x:row r="24" ht="29" customHeight="1">
      <x:c r="A24" s="2"/>
      <x:c r="B24" s="2"/>
      <x:c r="C24" s="2" t="str">
        <x:v>Historical billing below planned price</x:v>
      </x:c>
      <x:c r="D24" s="10" t="n">
        <x:f>'Media costs'!D32</x:f>
        <x:v>0.9303932584269663</x:v>
      </x:c>
      <x:c r="E24" s="2"/>
      <x:c r="F24" s="3" t="str">
        <x:v>Four invoices issued July to October 2026 versus the planned $89/month price. This 93% billing comparison is separate from the forward cost decision.</x:v>
      </x:c>
      <x:c r="G24" s="3"/>
      <x:c r="H24" s="3"/>
      <x:c r="I24" s="3"/>
      <x:c r="J24" s="3"/>
      <x:c r="K24" s="3"/>
      <x:c r="L24" s="3"/>
    </x:row>
    <x:row r="25" ht="29" customHeight="1">
      <x:c r="A25" s="2"/>
      <x:c r="B25" s="2"/>
      <x:c r="C25" s="2"/>
      <x:c r="D25" s="2"/>
      <x:c r="E25" s="2"/>
      <x:c r="F25" s="3"/>
      <x:c r="G25" s="3"/>
      <x:c r="H25" s="3"/>
      <x:c r="I25" s="3"/>
      <x:c r="J25" s="3"/>
      <x:c r="K25" s="3"/>
      <x:c r="L25" s="3"/>
    </x:row>
    <x:row r="26" ht="26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</x:row>
    <x:row r="27" ht="26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</x:row>
    <x:row r="28" ht="44" customHeight="1">
      <x:c r="A28" s="2"/>
      <x:c r="B28" s="2"/>
      <x:c r="C28" s="7" t="str">
        <x:v>Month</x:v>
      </x:c>
      <x:c r="D28" s="7" t="str">
        <x:v>Required GB</x:v>
      </x:c>
      <x:c r="E28" s="7" t="str">
        <x:v>Bandwidth GB</x:v>
      </x:c>
      <x:c r="F28" s="7" t="str">
        <x:v>Custom cash</x:v>
      </x:c>
      <x:c r="G28" s="7" t="str">
        <x:v>Managed cash</x:v>
      </x:c>
      <x:c r="H28" s="7" t="str">
        <x:v>Custom time $</x:v>
      </x:c>
      <x:c r="I28" s="7" t="str">
        <x:v>Managed time $</x:v>
      </x:c>
      <x:c r="J28" s="7" t="str">
        <x:v>Custom total</x:v>
      </x:c>
      <x:c r="K28" s="7" t="str">
        <x:v>Managed total</x:v>
      </x:c>
      <x:c r="L28" s="7" t="str">
        <x:v>Managed less custom</x:v>
      </x:c>
    </x:row>
    <x:row r="29" ht="26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</x:row>
    <x:row r="30" ht="26" customHeight="1">
      <x:c r="A30" s="2"/>
      <x:c r="B30" s="2"/>
      <x:c r="C30" s="22" t="n">
        <x:f>IF('Cost inputs'!$D$28="Ready",EDATE('Cost inputs'!$D$6,0),"n.a.")</x:f>
        <x:v>46327</x:v>
      </x:c>
      <x:c r="D30" s="23" t="n">
        <x:f>IF('Cost inputs'!$D$28="Ready",'Cost inputs'!$D$15*(1+'Cost inputs'!$D$20)^0,"n.a.")</x:f>
        <x:v>46</x:v>
      </x:c>
      <x:c r="E30" s="23" t="str">
        <x:f>IF(AND('Cost inputs'!$D$28="Ready",ISNUMBER('Cost inputs'!$D$16)),'Cost inputs'!$D$16*(1+'Cost inputs'!$D$21)^0,"n.a.")</x:f>
        <x:v>n.a.</x:v>
      </x:c>
      <x:c r="F30" s="9" t="n">
        <x:f>IF('Cost inputs'!$D$28="Ready",'Cost inputs'!$D$7*'Cost inputs'!$D$8*(1+'Cost inputs'!$D$9)^0,"n.a.")</x:f>
        <x:v>6.195</x:v>
      </x:c>
      <x:c r="G30" s="9" t="n">
        <x:f>IF('Cost inputs'!$D$28="Ready",IF('Cost inputs'!$D$14=1,'Cost inputs'!$D$24,'Cost inputs'!$D$25)+'Cost inputs'!$D$18,"n.a.")</x:f>
        <x:v>119</x:v>
      </x:c>
      <x:c r="H30" s="9" t="n">
        <x:f>IF('Cost inputs'!$D$28="Ready",'Cost inputs'!$D$10*'Cost inputs'!$D$12,"n.a.")</x:f>
        <x:v>50</x:v>
      </x:c>
      <x:c r="I30" s="9" t="n">
        <x:f>IF('Cost inputs'!$D$28="Ready",('Cost inputs'!$D$11+'Cost inputs'!$D$19)*'Cost inputs'!$D$12,"n.a.")</x:f>
        <x:v>112.5</x:v>
      </x:c>
      <x:c r="J30" s="9" t="n">
        <x:f>IF(COUNT(F30,H30)=2,SUM(F30,H30),"n.a.")</x:f>
        <x:v>56.195</x:v>
      </x:c>
      <x:c r="K30" s="9" t="n">
        <x:f>IF(COUNT(G30,I30)=2,SUM(G30,I30),"n.a.")</x:f>
        <x:v>231.5</x:v>
      </x:c>
      <x:c r="L30" s="9" t="n">
        <x:f>IF(COUNT(J30:K30)=2,K30-J30,"n.a.")</x:f>
        <x:v>175.305</x:v>
      </x:c>
    </x:row>
    <x:row r="31" ht="26" customHeight="1">
      <x:c r="A31" s="2"/>
      <x:c r="B31" s="2"/>
      <x:c r="C31" s="22" t="n">
        <x:f>IF('Cost inputs'!$D$28="Ready",EDATE('Cost inputs'!$D$6,1),"n.a.")</x:f>
        <x:v>46357</x:v>
      </x:c>
      <x:c r="D31" s="23" t="n">
        <x:f>IF('Cost inputs'!$D$28="Ready",'Cost inputs'!$D$15*(1+'Cost inputs'!$D$20)^1,"n.a.")</x:f>
        <x:v>46</x:v>
      </x:c>
      <x:c r="E31" s="23" t="str">
        <x:f>IF(AND('Cost inputs'!$D$28="Ready",ISNUMBER('Cost inputs'!$D$16)),'Cost inputs'!$D$16*(1+'Cost inputs'!$D$21)^1,"n.a.")</x:f>
        <x:v>n.a.</x:v>
      </x:c>
      <x:c r="F31" s="9" t="n">
        <x:f>IF('Cost inputs'!$D$28="Ready",'Cost inputs'!$D$7*'Cost inputs'!$D$8*(1+'Cost inputs'!$D$9)^1,"n.a.")</x:f>
        <x:v>6.195</x:v>
      </x:c>
      <x:c r="G31" s="9" t="n">
        <x:f>IF('Cost inputs'!$D$28="Ready",IF('Cost inputs'!$D$14=1,'Cost inputs'!$D$24,0)+0,"n.a.")</x:f>
        <x:v>119</x:v>
      </x:c>
      <x:c r="H31" s="9" t="n">
        <x:f>IF('Cost inputs'!$D$28="Ready",'Cost inputs'!$D$10*'Cost inputs'!$D$12,"n.a.")</x:f>
        <x:v>50</x:v>
      </x:c>
      <x:c r="I31" s="9" t="n">
        <x:f>IF('Cost inputs'!$D$28="Ready",('Cost inputs'!$D$11+0)*'Cost inputs'!$D$12,"n.a.")</x:f>
        <x:v>12.5</x:v>
      </x:c>
      <x:c r="J31" s="9" t="n">
        <x:f>IF(COUNT(F31,H31)=2,SUM(F31,H31),"n.a.")</x:f>
        <x:v>56.195</x:v>
      </x:c>
      <x:c r="K31" s="9" t="n">
        <x:f>IF(COUNT(G31,I31)=2,SUM(G31,I31),"n.a.")</x:f>
        <x:v>131.5</x:v>
      </x:c>
      <x:c r="L31" s="9" t="n">
        <x:f>IF(COUNT(J31:K31)=2,K31-J31,"n.a.")</x:f>
        <x:v>75.305</x:v>
      </x:c>
    </x:row>
    <x:row r="32" ht="26" customHeight="1">
      <x:c r="A32" s="2"/>
      <x:c r="B32" s="2"/>
      <x:c r="C32" s="22" t="n">
        <x:f>IF('Cost inputs'!$D$28="Ready",EDATE('Cost inputs'!$D$6,2),"n.a.")</x:f>
        <x:v>46388</x:v>
      </x:c>
      <x:c r="D32" s="23" t="n">
        <x:f>IF('Cost inputs'!$D$28="Ready",'Cost inputs'!$D$15*(1+'Cost inputs'!$D$20)^2,"n.a.")</x:f>
        <x:v>46</x:v>
      </x:c>
      <x:c r="E32" s="23" t="str">
        <x:f>IF(AND('Cost inputs'!$D$28="Ready",ISNUMBER('Cost inputs'!$D$16)),'Cost inputs'!$D$16*(1+'Cost inputs'!$D$21)^2,"n.a.")</x:f>
        <x:v>n.a.</x:v>
      </x:c>
      <x:c r="F32" s="9" t="n">
        <x:f>IF('Cost inputs'!$D$28="Ready",'Cost inputs'!$D$7*'Cost inputs'!$D$8*(1+'Cost inputs'!$D$9)^2,"n.a.")</x:f>
        <x:v>6.195</x:v>
      </x:c>
      <x:c r="G32" s="9" t="n">
        <x:f>IF('Cost inputs'!$D$28="Ready",IF('Cost inputs'!$D$14=1,'Cost inputs'!$D$24,0)+0,"n.a.")</x:f>
        <x:v>119</x:v>
      </x:c>
      <x:c r="H32" s="9" t="n">
        <x:f>IF('Cost inputs'!$D$28="Ready",'Cost inputs'!$D$10*'Cost inputs'!$D$12,"n.a.")</x:f>
        <x:v>50</x:v>
      </x:c>
      <x:c r="I32" s="9" t="n">
        <x:f>IF('Cost inputs'!$D$28="Ready",('Cost inputs'!$D$11+0)*'Cost inputs'!$D$12,"n.a.")</x:f>
        <x:v>12.5</x:v>
      </x:c>
      <x:c r="J32" s="9" t="n">
        <x:f>IF(COUNT(F32,H32)=2,SUM(F32,H32),"n.a.")</x:f>
        <x:v>56.195</x:v>
      </x:c>
      <x:c r="K32" s="9" t="n">
        <x:f>IF(COUNT(G32,I32)=2,SUM(G32,I32),"n.a.")</x:f>
        <x:v>131.5</x:v>
      </x:c>
      <x:c r="L32" s="9" t="n">
        <x:f>IF(COUNT(J32:K32)=2,K32-J32,"n.a.")</x:f>
        <x:v>75.305</x:v>
      </x:c>
    </x:row>
    <x:row r="33" ht="26" customHeight="1">
      <x:c r="A33" s="2"/>
      <x:c r="B33" s="2"/>
      <x:c r="C33" s="22" t="n">
        <x:f>IF('Cost inputs'!$D$28="Ready",EDATE('Cost inputs'!$D$6,3),"n.a.")</x:f>
        <x:v>46419</x:v>
      </x:c>
      <x:c r="D33" s="23" t="n">
        <x:f>IF('Cost inputs'!$D$28="Ready",'Cost inputs'!$D$15*(1+'Cost inputs'!$D$20)^3,"n.a.")</x:f>
        <x:v>46</x:v>
      </x:c>
      <x:c r="E33" s="23" t="str">
        <x:f>IF(AND('Cost inputs'!$D$28="Ready",ISNUMBER('Cost inputs'!$D$16)),'Cost inputs'!$D$16*(1+'Cost inputs'!$D$21)^3,"n.a.")</x:f>
        <x:v>n.a.</x:v>
      </x:c>
      <x:c r="F33" s="9" t="n">
        <x:f>IF('Cost inputs'!$D$28="Ready",'Cost inputs'!$D$7*'Cost inputs'!$D$8*(1+'Cost inputs'!$D$9)^3,"n.a.")</x:f>
        <x:v>6.195</x:v>
      </x:c>
      <x:c r="G33" s="9" t="n">
        <x:f>IF('Cost inputs'!$D$28="Ready",IF('Cost inputs'!$D$14=1,'Cost inputs'!$D$24,0)+0,"n.a.")</x:f>
        <x:v>119</x:v>
      </x:c>
      <x:c r="H33" s="9" t="n">
        <x:f>IF('Cost inputs'!$D$28="Ready",'Cost inputs'!$D$10*'Cost inputs'!$D$12,"n.a.")</x:f>
        <x:v>50</x:v>
      </x:c>
      <x:c r="I33" s="9" t="n">
        <x:f>IF('Cost inputs'!$D$28="Ready",('Cost inputs'!$D$11+0)*'Cost inputs'!$D$12,"n.a.")</x:f>
        <x:v>12.5</x:v>
      </x:c>
      <x:c r="J33" s="9" t="n">
        <x:f>IF(COUNT(F33,H33)=2,SUM(F33,H33),"n.a.")</x:f>
        <x:v>56.195</x:v>
      </x:c>
      <x:c r="K33" s="9" t="n">
        <x:f>IF(COUNT(G33,I33)=2,SUM(G33,I33),"n.a.")</x:f>
        <x:v>131.5</x:v>
      </x:c>
      <x:c r="L33" s="9" t="n">
        <x:f>IF(COUNT(J33:K33)=2,K33-J33,"n.a.")</x:f>
        <x:v>75.305</x:v>
      </x:c>
    </x:row>
    <x:row r="34" ht="26" customHeight="1">
      <x:c r="A34" s="2"/>
      <x:c r="B34" s="2"/>
      <x:c r="C34" s="22" t="n">
        <x:f>IF('Cost inputs'!$D$28="Ready",EDATE('Cost inputs'!$D$6,4),"n.a.")</x:f>
        <x:v>46447</x:v>
      </x:c>
      <x:c r="D34" s="23" t="n">
        <x:f>IF('Cost inputs'!$D$28="Ready",'Cost inputs'!$D$15*(1+'Cost inputs'!$D$20)^4,"n.a.")</x:f>
        <x:v>46</x:v>
      </x:c>
      <x:c r="E34" s="23" t="str">
        <x:f>IF(AND('Cost inputs'!$D$28="Ready",ISNUMBER('Cost inputs'!$D$16)),'Cost inputs'!$D$16*(1+'Cost inputs'!$D$21)^4,"n.a.")</x:f>
        <x:v>n.a.</x:v>
      </x:c>
      <x:c r="F34" s="9" t="n">
        <x:f>IF('Cost inputs'!$D$28="Ready",'Cost inputs'!$D$7*'Cost inputs'!$D$8*(1+'Cost inputs'!$D$9)^4,"n.a.")</x:f>
        <x:v>6.195</x:v>
      </x:c>
      <x:c r="G34" s="9" t="n">
        <x:f>IF('Cost inputs'!$D$28="Ready",IF('Cost inputs'!$D$14=1,'Cost inputs'!$D$24,0)+0,"n.a.")</x:f>
        <x:v>119</x:v>
      </x:c>
      <x:c r="H34" s="9" t="n">
        <x:f>IF('Cost inputs'!$D$28="Ready",'Cost inputs'!$D$10*'Cost inputs'!$D$12,"n.a.")</x:f>
        <x:v>50</x:v>
      </x:c>
      <x:c r="I34" s="9" t="n">
        <x:f>IF('Cost inputs'!$D$28="Ready",('Cost inputs'!$D$11+0)*'Cost inputs'!$D$12,"n.a.")</x:f>
        <x:v>12.5</x:v>
      </x:c>
      <x:c r="J34" s="9" t="n">
        <x:f>IF(COUNT(F34,H34)=2,SUM(F34,H34),"n.a.")</x:f>
        <x:v>56.195</x:v>
      </x:c>
      <x:c r="K34" s="9" t="n">
        <x:f>IF(COUNT(G34,I34)=2,SUM(G34,I34),"n.a.")</x:f>
        <x:v>131.5</x:v>
      </x:c>
      <x:c r="L34" s="9" t="n">
        <x:f>IF(COUNT(J34:K34)=2,K34-J34,"n.a.")</x:f>
        <x:v>75.305</x:v>
      </x:c>
    </x:row>
    <x:row r="35" ht="26" customHeight="1">
      <x:c r="A35" s="2"/>
      <x:c r="B35" s="2"/>
      <x:c r="C35" s="22" t="n">
        <x:f>IF('Cost inputs'!$D$28="Ready",EDATE('Cost inputs'!$D$6,5),"n.a.")</x:f>
        <x:v>46478</x:v>
      </x:c>
      <x:c r="D35" s="23" t="n">
        <x:f>IF('Cost inputs'!$D$28="Ready",'Cost inputs'!$D$15*(1+'Cost inputs'!$D$20)^5,"n.a.")</x:f>
        <x:v>46</x:v>
      </x:c>
      <x:c r="E35" s="23" t="str">
        <x:f>IF(AND('Cost inputs'!$D$28="Ready",ISNUMBER('Cost inputs'!$D$16)),'Cost inputs'!$D$16*(1+'Cost inputs'!$D$21)^5,"n.a.")</x:f>
        <x:v>n.a.</x:v>
      </x:c>
      <x:c r="F35" s="9" t="n">
        <x:f>IF('Cost inputs'!$D$28="Ready",'Cost inputs'!$D$7*'Cost inputs'!$D$8*(1+'Cost inputs'!$D$9)^5,"n.a.")</x:f>
        <x:v>6.195</x:v>
      </x:c>
      <x:c r="G35" s="9" t="n">
        <x:f>IF('Cost inputs'!$D$28="Ready",IF('Cost inputs'!$D$14=1,'Cost inputs'!$D$24,0)+0,"n.a.")</x:f>
        <x:v>119</x:v>
      </x:c>
      <x:c r="H35" s="9" t="n">
        <x:f>IF('Cost inputs'!$D$28="Ready",'Cost inputs'!$D$10*'Cost inputs'!$D$12,"n.a.")</x:f>
        <x:v>50</x:v>
      </x:c>
      <x:c r="I35" s="9" t="n">
        <x:f>IF('Cost inputs'!$D$28="Ready",('Cost inputs'!$D$11+0)*'Cost inputs'!$D$12,"n.a.")</x:f>
        <x:v>12.5</x:v>
      </x:c>
      <x:c r="J35" s="9" t="n">
        <x:f>IF(COUNT(F35,H35)=2,SUM(F35,H35),"n.a.")</x:f>
        <x:v>56.195</x:v>
      </x:c>
      <x:c r="K35" s="9" t="n">
        <x:f>IF(COUNT(G35,I35)=2,SUM(G35,I35),"n.a.")</x:f>
        <x:v>131.5</x:v>
      </x:c>
      <x:c r="L35" s="9" t="n">
        <x:f>IF(COUNT(J35:K35)=2,K35-J35,"n.a.")</x:f>
        <x:v>75.305</x:v>
      </x:c>
    </x:row>
    <x:row r="36" ht="26" customHeight="1">
      <x:c r="A36" s="2"/>
      <x:c r="B36" s="2"/>
      <x:c r="C36" s="22" t="n">
        <x:f>IF('Cost inputs'!$D$28="Ready",EDATE('Cost inputs'!$D$6,6),"n.a.")</x:f>
        <x:v>46508</x:v>
      </x:c>
      <x:c r="D36" s="23" t="n">
        <x:f>IF('Cost inputs'!$D$28="Ready",'Cost inputs'!$D$15*(1+'Cost inputs'!$D$20)^6,"n.a.")</x:f>
        <x:v>46</x:v>
      </x:c>
      <x:c r="E36" s="23" t="str">
        <x:f>IF(AND('Cost inputs'!$D$28="Ready",ISNUMBER('Cost inputs'!$D$16)),'Cost inputs'!$D$16*(1+'Cost inputs'!$D$21)^6,"n.a.")</x:f>
        <x:v>n.a.</x:v>
      </x:c>
      <x:c r="F36" s="9" t="n">
        <x:f>IF('Cost inputs'!$D$28="Ready",'Cost inputs'!$D$7*'Cost inputs'!$D$8*(1+'Cost inputs'!$D$9)^6,"n.a.")</x:f>
        <x:v>6.195</x:v>
      </x:c>
      <x:c r="G36" s="9" t="n">
        <x:f>IF('Cost inputs'!$D$28="Ready",IF('Cost inputs'!$D$14=1,'Cost inputs'!$D$24,0)+0,"n.a.")</x:f>
        <x:v>119</x:v>
      </x:c>
      <x:c r="H36" s="9" t="n">
        <x:f>IF('Cost inputs'!$D$28="Ready",'Cost inputs'!$D$10*'Cost inputs'!$D$12,"n.a.")</x:f>
        <x:v>50</x:v>
      </x:c>
      <x:c r="I36" s="9" t="n">
        <x:f>IF('Cost inputs'!$D$28="Ready",('Cost inputs'!$D$11+0)*'Cost inputs'!$D$12,"n.a.")</x:f>
        <x:v>12.5</x:v>
      </x:c>
      <x:c r="J36" s="9" t="n">
        <x:f>IF(COUNT(F36,H36)=2,SUM(F36,H36),"n.a.")</x:f>
        <x:v>56.195</x:v>
      </x:c>
      <x:c r="K36" s="9" t="n">
        <x:f>IF(COUNT(G36,I36)=2,SUM(G36,I36),"n.a.")</x:f>
        <x:v>131.5</x:v>
      </x:c>
      <x:c r="L36" s="9" t="n">
        <x:f>IF(COUNT(J36:K36)=2,K36-J36,"n.a.")</x:f>
        <x:v>75.305</x:v>
      </x:c>
    </x:row>
    <x:row r="37" ht="26" customHeight="1">
      <x:c r="A37" s="2"/>
      <x:c r="B37" s="2"/>
      <x:c r="C37" s="22" t="n">
        <x:f>IF('Cost inputs'!$D$28="Ready",EDATE('Cost inputs'!$D$6,7),"n.a.")</x:f>
        <x:v>46539</x:v>
      </x:c>
      <x:c r="D37" s="23" t="n">
        <x:f>IF('Cost inputs'!$D$28="Ready",'Cost inputs'!$D$15*(1+'Cost inputs'!$D$20)^7,"n.a.")</x:f>
        <x:v>46</x:v>
      </x:c>
      <x:c r="E37" s="23" t="str">
        <x:f>IF(AND('Cost inputs'!$D$28="Ready",ISNUMBER('Cost inputs'!$D$16)),'Cost inputs'!$D$16*(1+'Cost inputs'!$D$21)^7,"n.a.")</x:f>
        <x:v>n.a.</x:v>
      </x:c>
      <x:c r="F37" s="9" t="n">
        <x:f>IF('Cost inputs'!$D$28="Ready",'Cost inputs'!$D$7*'Cost inputs'!$D$8*(1+'Cost inputs'!$D$9)^7,"n.a.")</x:f>
        <x:v>6.195</x:v>
      </x:c>
      <x:c r="G37" s="9" t="n">
        <x:f>IF('Cost inputs'!$D$28="Ready",IF('Cost inputs'!$D$14=1,'Cost inputs'!$D$24,0)+0,"n.a.")</x:f>
        <x:v>119</x:v>
      </x:c>
      <x:c r="H37" s="9" t="n">
        <x:f>IF('Cost inputs'!$D$28="Ready",'Cost inputs'!$D$10*'Cost inputs'!$D$12,"n.a.")</x:f>
        <x:v>50</x:v>
      </x:c>
      <x:c r="I37" s="9" t="n">
        <x:f>IF('Cost inputs'!$D$28="Ready",('Cost inputs'!$D$11+0)*'Cost inputs'!$D$12,"n.a.")</x:f>
        <x:v>12.5</x:v>
      </x:c>
      <x:c r="J37" s="9" t="n">
        <x:f>IF(COUNT(F37,H37)=2,SUM(F37,H37),"n.a.")</x:f>
        <x:v>56.195</x:v>
      </x:c>
      <x:c r="K37" s="9" t="n">
        <x:f>IF(COUNT(G37,I37)=2,SUM(G37,I37),"n.a.")</x:f>
        <x:v>131.5</x:v>
      </x:c>
      <x:c r="L37" s="9" t="n">
        <x:f>IF(COUNT(J37:K37)=2,K37-J37,"n.a.")</x:f>
        <x:v>75.305</x:v>
      </x:c>
    </x:row>
    <x:row r="38" ht="26" customHeight="1">
      <x:c r="A38" s="2"/>
      <x:c r="B38" s="2"/>
      <x:c r="C38" s="22" t="n">
        <x:f>IF('Cost inputs'!$D$28="Ready",EDATE('Cost inputs'!$D$6,8),"n.a.")</x:f>
        <x:v>46569</x:v>
      </x:c>
      <x:c r="D38" s="23" t="n">
        <x:f>IF('Cost inputs'!$D$28="Ready",'Cost inputs'!$D$15*(1+'Cost inputs'!$D$20)^8,"n.a.")</x:f>
        <x:v>46</x:v>
      </x:c>
      <x:c r="E38" s="23" t="str">
        <x:f>IF(AND('Cost inputs'!$D$28="Ready",ISNUMBER('Cost inputs'!$D$16)),'Cost inputs'!$D$16*(1+'Cost inputs'!$D$21)^8,"n.a.")</x:f>
        <x:v>n.a.</x:v>
      </x:c>
      <x:c r="F38" s="9" t="n">
        <x:f>IF('Cost inputs'!$D$28="Ready",'Cost inputs'!$D$7*'Cost inputs'!$D$8*(1+'Cost inputs'!$D$9)^8,"n.a.")</x:f>
        <x:v>6.195</x:v>
      </x:c>
      <x:c r="G38" s="9" t="n">
        <x:f>IF('Cost inputs'!$D$28="Ready",IF('Cost inputs'!$D$14=1,'Cost inputs'!$D$24,0)+0,"n.a.")</x:f>
        <x:v>119</x:v>
      </x:c>
      <x:c r="H38" s="9" t="n">
        <x:f>IF('Cost inputs'!$D$28="Ready",'Cost inputs'!$D$10*'Cost inputs'!$D$12,"n.a.")</x:f>
        <x:v>50</x:v>
      </x:c>
      <x:c r="I38" s="9" t="n">
        <x:f>IF('Cost inputs'!$D$28="Ready",('Cost inputs'!$D$11+0)*'Cost inputs'!$D$12,"n.a.")</x:f>
        <x:v>12.5</x:v>
      </x:c>
      <x:c r="J38" s="9" t="n">
        <x:f>IF(COUNT(F38,H38)=2,SUM(F38,H38),"n.a.")</x:f>
        <x:v>56.195</x:v>
      </x:c>
      <x:c r="K38" s="9" t="n">
        <x:f>IF(COUNT(G38,I38)=2,SUM(G38,I38),"n.a.")</x:f>
        <x:v>131.5</x:v>
      </x:c>
      <x:c r="L38" s="9" t="n">
        <x:f>IF(COUNT(J38:K38)=2,K38-J38,"n.a.")</x:f>
        <x:v>75.305</x:v>
      </x:c>
    </x:row>
    <x:row r="39" ht="26" customHeight="1">
      <x:c r="A39" s="2"/>
      <x:c r="B39" s="2"/>
      <x:c r="C39" s="22" t="n">
        <x:f>IF('Cost inputs'!$D$28="Ready",EDATE('Cost inputs'!$D$6,9),"n.a.")</x:f>
        <x:v>46600</x:v>
      </x:c>
      <x:c r="D39" s="23" t="n">
        <x:f>IF('Cost inputs'!$D$28="Ready",'Cost inputs'!$D$15*(1+'Cost inputs'!$D$20)^9,"n.a.")</x:f>
        <x:v>46</x:v>
      </x:c>
      <x:c r="E39" s="23" t="str">
        <x:f>IF(AND('Cost inputs'!$D$28="Ready",ISNUMBER('Cost inputs'!$D$16)),'Cost inputs'!$D$16*(1+'Cost inputs'!$D$21)^9,"n.a.")</x:f>
        <x:v>n.a.</x:v>
      </x:c>
      <x:c r="F39" s="9" t="n">
        <x:f>IF('Cost inputs'!$D$28="Ready",'Cost inputs'!$D$7*'Cost inputs'!$D$8*(1+'Cost inputs'!$D$9)^9,"n.a.")</x:f>
        <x:v>6.195</x:v>
      </x:c>
      <x:c r="G39" s="9" t="n">
        <x:f>IF('Cost inputs'!$D$28="Ready",IF('Cost inputs'!$D$14=1,'Cost inputs'!$D$24,0)+0,"n.a.")</x:f>
        <x:v>119</x:v>
      </x:c>
      <x:c r="H39" s="9" t="n">
        <x:f>IF('Cost inputs'!$D$28="Ready",'Cost inputs'!$D$10*'Cost inputs'!$D$12,"n.a.")</x:f>
        <x:v>50</x:v>
      </x:c>
      <x:c r="I39" s="9" t="n">
        <x:f>IF('Cost inputs'!$D$28="Ready",('Cost inputs'!$D$11+0)*'Cost inputs'!$D$12,"n.a.")</x:f>
        <x:v>12.5</x:v>
      </x:c>
      <x:c r="J39" s="9" t="n">
        <x:f>IF(COUNT(F39,H39)=2,SUM(F39,H39),"n.a.")</x:f>
        <x:v>56.195</x:v>
      </x:c>
      <x:c r="K39" s="9" t="n">
        <x:f>IF(COUNT(G39,I39)=2,SUM(G39,I39),"n.a.")</x:f>
        <x:v>131.5</x:v>
      </x:c>
      <x:c r="L39" s="9" t="n">
        <x:f>IF(COUNT(J39:K39)=2,K39-J39,"n.a.")</x:f>
        <x:v>75.305</x:v>
      </x:c>
    </x:row>
    <x:row r="40" ht="26" customHeight="1">
      <x:c r="A40" s="2"/>
      <x:c r="B40" s="2"/>
      <x:c r="C40" s="22" t="n">
        <x:f>IF('Cost inputs'!$D$28="Ready",EDATE('Cost inputs'!$D$6,10),"n.a.")</x:f>
        <x:v>46631</x:v>
      </x:c>
      <x:c r="D40" s="23" t="n">
        <x:f>IF('Cost inputs'!$D$28="Ready",'Cost inputs'!$D$15*(1+'Cost inputs'!$D$20)^10,"n.a.")</x:f>
        <x:v>46</x:v>
      </x:c>
      <x:c r="E40" s="23" t="str">
        <x:f>IF(AND('Cost inputs'!$D$28="Ready",ISNUMBER('Cost inputs'!$D$16)),'Cost inputs'!$D$16*(1+'Cost inputs'!$D$21)^10,"n.a.")</x:f>
        <x:v>n.a.</x:v>
      </x:c>
      <x:c r="F40" s="9" t="n">
        <x:f>IF('Cost inputs'!$D$28="Ready",'Cost inputs'!$D$7*'Cost inputs'!$D$8*(1+'Cost inputs'!$D$9)^10,"n.a.")</x:f>
        <x:v>6.195</x:v>
      </x:c>
      <x:c r="G40" s="9" t="n">
        <x:f>IF('Cost inputs'!$D$28="Ready",IF('Cost inputs'!$D$14=1,'Cost inputs'!$D$24,0)+0,"n.a.")</x:f>
        <x:v>119</x:v>
      </x:c>
      <x:c r="H40" s="9" t="n">
        <x:f>IF('Cost inputs'!$D$28="Ready",'Cost inputs'!$D$10*'Cost inputs'!$D$12,"n.a.")</x:f>
        <x:v>50</x:v>
      </x:c>
      <x:c r="I40" s="9" t="n">
        <x:f>IF('Cost inputs'!$D$28="Ready",('Cost inputs'!$D$11+0)*'Cost inputs'!$D$12,"n.a.")</x:f>
        <x:v>12.5</x:v>
      </x:c>
      <x:c r="J40" s="9" t="n">
        <x:f>IF(COUNT(F40,H40)=2,SUM(F40,H40),"n.a.")</x:f>
        <x:v>56.195</x:v>
      </x:c>
      <x:c r="K40" s="9" t="n">
        <x:f>IF(COUNT(G40,I40)=2,SUM(G40,I40),"n.a.")</x:f>
        <x:v>131.5</x:v>
      </x:c>
      <x:c r="L40" s="9" t="n">
        <x:f>IF(COUNT(J40:K40)=2,K40-J40,"n.a.")</x:f>
        <x:v>75.305</x:v>
      </x:c>
    </x:row>
    <x:row r="41" ht="26" customHeight="1">
      <x:c r="A41" s="2"/>
      <x:c r="B41" s="2"/>
      <x:c r="C41" s="22" t="n">
        <x:f>IF('Cost inputs'!$D$28="Ready",EDATE('Cost inputs'!$D$6,11),"n.a.")</x:f>
        <x:v>46661</x:v>
      </x:c>
      <x:c r="D41" s="23" t="n">
        <x:f>IF('Cost inputs'!$D$28="Ready",'Cost inputs'!$D$15*(1+'Cost inputs'!$D$20)^11,"n.a.")</x:f>
        <x:v>46</x:v>
      </x:c>
      <x:c r="E41" s="23" t="str">
        <x:f>IF(AND('Cost inputs'!$D$28="Ready",ISNUMBER('Cost inputs'!$D$16)),'Cost inputs'!$D$16*(1+'Cost inputs'!$D$21)^11,"n.a.")</x:f>
        <x:v>n.a.</x:v>
      </x:c>
      <x:c r="F41" s="9" t="n">
        <x:f>IF('Cost inputs'!$D$28="Ready",'Cost inputs'!$D$7*'Cost inputs'!$D$8*(1+'Cost inputs'!$D$9)^11,"n.a.")</x:f>
        <x:v>6.195</x:v>
      </x:c>
      <x:c r="G41" s="9" t="n">
        <x:f>IF('Cost inputs'!$D$28="Ready",IF('Cost inputs'!$D$14=1,'Cost inputs'!$D$24,0)+0,"n.a.")</x:f>
        <x:v>119</x:v>
      </x:c>
      <x:c r="H41" s="9" t="n">
        <x:f>IF('Cost inputs'!$D$28="Ready",'Cost inputs'!$D$10*'Cost inputs'!$D$12,"n.a.")</x:f>
        <x:v>50</x:v>
      </x:c>
      <x:c r="I41" s="9" t="n">
        <x:f>IF('Cost inputs'!$D$28="Ready",('Cost inputs'!$D$11+0)*'Cost inputs'!$D$12,"n.a.")</x:f>
        <x:v>12.5</x:v>
      </x:c>
      <x:c r="J41" s="9" t="n">
        <x:f>IF(COUNT(F41,H41)=2,SUM(F41,H41),"n.a.")</x:f>
        <x:v>56.195</x:v>
      </x:c>
      <x:c r="K41" s="9" t="n">
        <x:f>IF(COUNT(G41,I41)=2,SUM(G41,I41),"n.a.")</x:f>
        <x:v>131.5</x:v>
      </x:c>
      <x:c r="L41" s="9" t="n">
        <x:f>IF(COUNT(J41:K41)=2,K41-J41,"n.a.")</x:f>
        <x:v>75.305</x:v>
      </x:c>
    </x:row>
    <x:row r="42" ht="26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</x:row>
    <x:row r="43" ht="26" customHeight="1">
      <x:c r="A43" s="2"/>
      <x:c r="B43" s="2"/>
      <x:c r="C43" s="7" t="str">
        <x:v>Twelve-month totals</x:v>
      </x:c>
      <x:c r="D43" s="7"/>
      <x:c r="E43" s="7"/>
      <x:c r="F43" s="26" t="n">
        <x:f>IF(COUNT(F30:F41)=12,SUM(F30:F41),"n.a.")</x:f>
        <x:v>74.34</x:v>
      </x:c>
      <x:c r="G43" s="26" t="n">
        <x:f>IF(COUNT(G30:G41)=12,SUM(G30:G41),"n.a.")</x:f>
        <x:v>1428</x:v>
      </x:c>
      <x:c r="H43" s="26" t="n">
        <x:f>IF(COUNT(H30:H41)=12,SUM(H30:H41),"n.a.")</x:f>
        <x:v>600</x:v>
      </x:c>
      <x:c r="I43" s="26" t="n">
        <x:f>IF(COUNT(I30:I41)=12,SUM(I30:I41),"n.a.")</x:f>
        <x:v>250</x:v>
      </x:c>
      <x:c r="J43" s="26" t="n">
        <x:f>IF(COUNT(J30:J41)=12,SUM(J30:J41),"n.a.")</x:f>
        <x:v>674.3400000000001</x:v>
      </x:c>
      <x:c r="K43" s="26" t="n">
        <x:f>IF(COUNT(K30:K41)=12,SUM(K30:K41),"n.a.")</x:f>
        <x:v>1678</x:v>
      </x:c>
      <x:c r="L43" s="26" t="n">
        <x:f>IF(COUNT(L30:L41)=12,SUM(L30:L41),"n.a.")</x:f>
        <x:v>1003.6600000000003</x:v>
      </x:c>
    </x:row>
    <x:row r="44" ht="26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</x:row>
    <x:row r="45" ht="28" customHeight="1">
      <x:c r="A45" s="2"/>
      <x:c r="B45" s="2"/>
      <x:c r="C45" s="3" t="str">
        <x:v>Try it: change custom maintenance from 1 to 4 hours/month. Then select plan 3 to test the 40 GB constraint. Restore 1 hour and plan 4. Explain why lower bills alone cannot settle the decision.</x:v>
      </x:c>
      <x:c r="D45" s="3"/>
      <x:c r="E45" s="3"/>
      <x:c r="F45" s="3"/>
      <x:c r="G45" s="3"/>
      <x:c r="H45" s="3"/>
      <x:c r="I45" s="3"/>
      <x:c r="J45" s="3"/>
      <x:c r="K45" s="3"/>
      <x:c r="L45" s="3"/>
    </x:row>
    <x:row r="46" ht="28" customHeight="1">
      <x:c r="A46" s="2"/>
      <x:c r="B46" s="2"/>
      <x:c r="C46" s="3"/>
      <x:c r="D46" s="3"/>
      <x:c r="E46" s="3"/>
      <x:c r="F46" s="3"/>
      <x:c r="G46" s="3"/>
      <x:c r="H46" s="3"/>
      <x:c r="I46" s="3"/>
      <x:c r="J46" s="3"/>
      <x:c r="K46" s="3"/>
      <x:c r="L46" s="3"/>
    </x:row>
    <x:row r="47" ht="26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</x:row>
  </x:sheetData>
  <x:mergeCells>
    <x:mergeCell ref="C2:L2"/>
    <x:mergeCell ref="C3:L3"/>
    <x:mergeCell ref="F10:L12"/>
    <x:mergeCell ref="D17:L17"/>
    <x:mergeCell ref="D19:L19"/>
    <x:mergeCell ref="D20:L20"/>
    <x:mergeCell ref="C22:L22"/>
    <x:mergeCell ref="F24:L25"/>
    <x:mergeCell ref="C45:L46"/>
  </x:mergeCells>
  <x:conditionalFormatting sqref="D14:D17">
    <x:cfRule type="containsText" dxfId="0" priority="1" operator="containsText" text="FAIL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.2200000286102295" hidden="0" customWidth="1"/>
    <x:col min="2" max="2" width="2.2200000286102295" hidden="0" customWidth="1"/>
    <x:col min="3" max="3" width="30" hidden="0" customWidth="1"/>
    <x:col min="4" max="4" width="18.329999923706055" hidden="0" customWidth="1"/>
    <x:col min="5" max="5" width="11.109999656677246" hidden="0" customWidth="1"/>
    <x:col min="6" max="6" width="15" hidden="0" customWidth="1"/>
    <x:col min="7" max="7" width="15" hidden="0" customWidth="1"/>
    <x:col min="8" max="8" width="15" hidden="0" customWidth="1"/>
    <x:col min="9" max="9" width="10" hidden="0" customWidth="1"/>
    <x:col min="10" max="10" width="10" hidden="0" customWidth="1"/>
    <x:col min="11" max="11" width="10" hidden="0" customWidth="1"/>
    <x:col min="12" max="12" width="10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34" customHeight="1">
      <x:c r="A2" s="2"/>
      <x:c r="B2" s="2"/>
      <x:c r="C2" s="4" t="str">
        <x:v>Giraux cost assumptions</x:v>
      </x:c>
      <x:c r="D2" s="4"/>
      <x:c r="E2" s="4"/>
      <x:c r="F2" s="4"/>
      <x:c r="G2" s="4"/>
      <x:c r="H2" s="4"/>
      <x:c r="I2" s="4"/>
      <x:c r="J2" s="4"/>
      <x:c r="K2" s="4"/>
      <x:c r="L2" s="4"/>
    </x:row>
    <x:row r="3" ht="30" customHeight="1">
      <x:c r="A3" s="2"/>
      <x:c r="B3" s="2"/>
      <x:c r="C3" s="3" t="str">
        <x:v>Edit blue cells. Untracked inputs are practice assumptions, not measured operating results.</x:v>
      </x:c>
      <x:c r="D3" s="3"/>
      <x:c r="E3" s="3"/>
      <x:c r="F3" s="3"/>
      <x:c r="G3" s="3"/>
      <x:c r="H3" s="3"/>
      <x:c r="I3" s="3"/>
      <x:c r="J3" s="3"/>
      <x:c r="K3" s="3"/>
      <x:c r="L3" s="3"/>
    </x:row>
    <x:row r="4" ht="26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</x:row>
    <x:row r="5" ht="26" customHeight="1">
      <x:c r="A5" s="2"/>
      <x:c r="B5" s="2"/>
      <x:c r="C5" s="7" t="str">
        <x:v>Driver</x:v>
      </x:c>
      <x:c r="D5" s="7" t="str">
        <x:v>Value</x:v>
      </x:c>
      <x:c r="E5" s="7" t="str">
        <x:v>Unit</x:v>
      </x:c>
      <x:c r="F5" s="7" t="str">
        <x:v>Basis</x:v>
      </x:c>
      <x:c r="G5" s="7"/>
      <x:c r="H5" s="7"/>
      <x:c r="I5" s="7"/>
      <x:c r="J5" s="7"/>
      <x:c r="K5" s="7"/>
      <x:c r="L5" s="7"/>
    </x:row>
    <x:row r="6" ht="34" customHeight="1">
      <x:c r="A6" s="2"/>
      <x:c r="B6" s="2"/>
      <x:c r="C6" s="2" t="str">
        <x:v>Forecast starts</x:v>
      </x:c>
      <x:c r="D6" s="15" t="n">
        <x:v>46327</x:v>
      </x:c>
      <x:c r="E6" s="2" t="str">
        <x:v>date</x:v>
      </x:c>
      <x:c r="F6" s="3" t="str">
        <x:v>First future full month after the evidence cutoff.</x:v>
      </x:c>
      <x:c r="G6" s="3"/>
      <x:c r="H6" s="3"/>
      <x:c r="I6" s="3"/>
      <x:c r="J6" s="3"/>
      <x:c r="K6" s="3"/>
      <x:c r="L6" s="3"/>
    </x:row>
    <x:row r="7" ht="34" customHeight="1">
      <x:c r="A7" s="2"/>
      <x:c r="B7" s="2"/>
      <x:c r="C7" s="2" t="str">
        <x:v>Recent billing baseline</x:v>
      </x:c>
      <x:c r="D7" s="17" t="n">
        <x:f>AVERAGE('Media costs'!E53:E56)</x:f>
        <x:v>6.195</x:v>
      </x:c>
      <x:c r="E7" s="2" t="str">
        <x:v>USD/month</x:v>
      </x:c>
      <x:c r="F7" s="3" t="str">
        <x:v>Four July to October SQL issue-month totals; billing proxy, not usage.</x:v>
      </x:c>
      <x:c r="G7" s="3"/>
      <x:c r="H7" s="3"/>
      <x:c r="I7" s="3"/>
      <x:c r="J7" s="3"/>
      <x:c r="K7" s="3"/>
      <x:c r="L7" s="3"/>
    </x:row>
    <x:row r="8" ht="34" customHeight="1">
      <x:c r="A8" s="2"/>
      <x:c r="B8" s="2"/>
      <x:c r="C8" s="2" t="str">
        <x:v>Allocation to media platform</x:v>
      </x:c>
      <x:c r="D8" s="16" t="n">
        <x:v>1</x:v>
      </x:c>
      <x:c r="E8" s="2" t="str">
        <x:v>share</x:v>
      </x:c>
      <x:c r="F8" s="3" t="str">
        <x:v>Assumed 100%. Account line items are unavailable.</x:v>
      </x:c>
      <x:c r="G8" s="3"/>
      <x:c r="H8" s="3"/>
      <x:c r="I8" s="3"/>
      <x:c r="J8" s="3"/>
      <x:c r="K8" s="3"/>
      <x:c r="L8" s="3"/>
    </x:row>
    <x:row r="9" ht="34" customHeight="1">
      <x:c r="A9" s="2"/>
      <x:c r="B9" s="2"/>
      <x:c r="C9" s="2" t="str">
        <x:v>Monthly billing growth</x:v>
      </x:c>
      <x:c r="D9" s="16" t="n">
        <x:v>0</x:v>
      </x:c>
      <x:c r="E9" s="2" t="str">
        <x:v>%/month</x:v>
      </x:c>
      <x:c r="F9" s="3" t="str">
        <x:v>Billing sensitivity; no measured relationship to traffic.</x:v>
      </x:c>
      <x:c r="G9" s="3"/>
      <x:c r="H9" s="3"/>
      <x:c r="I9" s="3"/>
      <x:c r="J9" s="3"/>
      <x:c r="K9" s="3"/>
      <x:c r="L9" s="3"/>
    </x:row>
    <x:row r="10" ht="34" customHeight="1">
      <x:c r="A10" s="2"/>
      <x:c r="B10" s="2"/>
      <x:c r="C10" s="2" t="str">
        <x:v>Custom maintenance</x:v>
      </x:c>
      <x:c r="D10" s="12" t="n">
        <x:v>1</x:v>
      </x:c>
      <x:c r="E10" s="2" t="str">
        <x:v>hours/month</x:v>
      </x:c>
      <x:c r="F10" s="3" t="str">
        <x:v>Practice assumption. Ricardo has not tracked maintenance time.</x:v>
      </x:c>
      <x:c r="G10" s="3"/>
      <x:c r="H10" s="3"/>
      <x:c r="I10" s="3"/>
      <x:c r="J10" s="3"/>
      <x:c r="K10" s="3"/>
      <x:c r="L10" s="3"/>
    </x:row>
    <x:row r="11" ht="34" customHeight="1">
      <x:c r="A11" s="2"/>
      <x:c r="B11" s="2"/>
      <x:c r="C11" s="2" t="str">
        <x:v>Managed maintenance</x:v>
      </x:c>
      <x:c r="D11" s="12" t="n">
        <x:v>0.25</x:v>
      </x:c>
      <x:c r="E11" s="2" t="str">
        <x:v>hours/month</x:v>
      </x:c>
      <x:c r="F11" s="3" t="str">
        <x:v>Practice assumption; a managed vendor still needs oversight.</x:v>
      </x:c>
      <x:c r="G11" s="3"/>
      <x:c r="H11" s="3"/>
      <x:c r="I11" s="3"/>
      <x:c r="J11" s="3"/>
      <x:c r="K11" s="3"/>
      <x:c r="L11" s="3"/>
    </x:row>
    <x:row r="12" ht="34" customHeight="1">
      <x:c r="A12" s="2"/>
      <x:c r="B12" s="2"/>
      <x:c r="C12" s="2" t="str">
        <x:v>Value of maintenance time</x:v>
      </x:c>
      <x:c r="D12" s="18" t="n">
        <x:v>50</x:v>
      </x:c>
      <x:c r="E12" s="2" t="str">
        <x:v>USD/hour</x:v>
      </x:c>
      <x:c r="F12" s="3" t="str">
        <x:v>Illustrative opportunity cost, not salary or a paid invoice.</x:v>
      </x:c>
      <x:c r="G12" s="3"/>
      <x:c r="H12" s="3"/>
      <x:c r="I12" s="3"/>
      <x:c r="J12" s="3"/>
      <x:c r="K12" s="3"/>
      <x:c r="L12" s="3"/>
    </x:row>
    <x:row r="13" ht="34" customHeight="1">
      <x:c r="A13" s="2"/>
      <x:c r="B13" s="2"/>
      <x:c r="C13" s="2" t="str">
        <x:v>Managed plan number</x:v>
      </x:c>
      <x:c r="D13" s="12" t="n">
        <x:v>4</x:v>
      </x:c>
      <x:c r="E13" s="2" t="str">
        <x:v>1 to 4</x:v>
      </x:c>
      <x:c r="F13" s="3" t="str">
        <x:v>1 Business 12; 2 Business 20; 3 Business 40; 4 Business 60.</x:v>
      </x:c>
      <x:c r="G13" s="3"/>
      <x:c r="H13" s="3"/>
      <x:c r="I13" s="3"/>
      <x:c r="J13" s="3"/>
      <x:c r="K13" s="3"/>
      <x:c r="L13" s="3"/>
    </x:row>
    <x:row r="14" ht="34" customHeight="1">
      <x:c r="A14" s="2"/>
      <x:c r="B14" s="2"/>
      <x:c r="C14" s="2" t="str">
        <x:v>Payment option</x:v>
      </x:c>
      <x:c r="D14" s="12" t="n">
        <x:v>1</x:v>
      </x:c>
      <x:c r="E14" s="2" t="str">
        <x:v>1 or 2</x:v>
      </x:c>
      <x:c r="F14" s="3" t="str">
        <x:v>1 monthly; 2 annual, paid in the first forecast month.</x:v>
      </x:c>
      <x:c r="G14" s="3"/>
      <x:c r="H14" s="3"/>
      <x:c r="I14" s="3"/>
      <x:c r="J14" s="3"/>
      <x:c r="K14" s="3"/>
      <x:c r="L14" s="3"/>
    </x:row>
    <x:row r="15" ht="34" customHeight="1">
      <x:c r="A15" s="2"/>
      <x:c r="B15" s="2"/>
      <x:c r="C15" s="2" t="str">
        <x:v>Storage requirement</x:v>
      </x:c>
      <x:c r="D15" s="12" t="n">
        <x:v>46</x:v>
      </x:c>
      <x:c r="E15" s="2" t="str">
        <x:v>GB</x:v>
      </x:c>
      <x:c r="F15" s="3" t="str">
        <x:v>Assumed from migration inventory. Current required storage is unverified.</x:v>
      </x:c>
      <x:c r="G15" s="3"/>
      <x:c r="H15" s="3"/>
      <x:c r="I15" s="3"/>
      <x:c r="J15" s="3"/>
      <x:c r="K15" s="3"/>
      <x:c r="L15" s="3"/>
    </x:row>
    <x:row r="16" ht="34" customHeight="1">
      <x:c r="A16" s="2"/>
      <x:c r="B16" s="2"/>
      <x:c r="C16" s="2" t="str">
        <x:v>Bandwidth requirement</x:v>
      </x:c>
      <x:c r="D16" s="12"/>
      <x:c r="E16" s="2" t="str">
        <x:v>GB/month</x:v>
      </x:c>
      <x:c r="F16" s="3" t="str">
        <x:v>Leave blank until known. Unknown capacity keeps the result conditional.</x:v>
      </x:c>
      <x:c r="G16" s="3"/>
      <x:c r="H16" s="3"/>
      <x:c r="I16" s="3"/>
      <x:c r="J16" s="3"/>
      <x:c r="K16" s="3"/>
      <x:c r="L16" s="3"/>
    </x:row>
    <x:row r="17" ht="34" customHeight="1">
      <x:c r="A17" s="2"/>
      <x:c r="B17" s="2"/>
      <x:c r="C17" s="2" t="str">
        <x:v>Equivalent capabilities confirmed</x:v>
      </x:c>
      <x:c r="D17" s="12" t="n">
        <x:v>0</x:v>
      </x:c>
      <x:c r="E17" s="2" t="str">
        <x:v>0 or 1</x:v>
      </x:c>
      <x:c r="F17" s="3" t="str">
        <x:v>0 unknown; 1 operator-confirmed. Check embeds, uploads, auth and support.</x:v>
      </x:c>
      <x:c r="G17" s="3"/>
      <x:c r="H17" s="3"/>
      <x:c r="I17" s="3"/>
      <x:c r="J17" s="3"/>
      <x:c r="K17" s="3"/>
      <x:c r="L17" s="3"/>
    </x:row>
    <x:row r="18" ht="34" customHeight="1">
      <x:c r="A18" s="2"/>
      <x:c r="B18" s="2"/>
      <x:c r="C18" s="2" t="str">
        <x:v>Switching cash cost</x:v>
      </x:c>
      <x:c r="D18" s="18" t="n">
        <x:v>0</x:v>
      </x:c>
      <x:c r="E18" s="2" t="str">
        <x:v>USD</x:v>
      </x:c>
      <x:c r="F18" s="3" t="str">
        <x:v>Assumption. Cost to move to managed service, paid in month one.</x:v>
      </x:c>
      <x:c r="G18" s="3"/>
      <x:c r="H18" s="3"/>
      <x:c r="I18" s="3"/>
      <x:c r="J18" s="3"/>
      <x:c r="K18" s="3"/>
      <x:c r="L18" s="3"/>
    </x:row>
    <x:row r="19" ht="34" customHeight="1">
      <x:c r="A19" s="2"/>
      <x:c r="B19" s="2"/>
      <x:c r="C19" s="2" t="str">
        <x:v>Switching effort</x:v>
      </x:c>
      <x:c r="D19" s="12" t="n">
        <x:v>2</x:v>
      </x:c>
      <x:c r="E19" s="2" t="str">
        <x:v>hours</x:v>
      </x:c>
      <x:c r="F19" s="3" t="str">
        <x:v>Assumption. Cost to move to managed service, incurred in month one.</x:v>
      </x:c>
      <x:c r="G19" s="3"/>
      <x:c r="H19" s="3"/>
      <x:c r="I19" s="3"/>
      <x:c r="J19" s="3"/>
      <x:c r="K19" s="3"/>
      <x:c r="L19" s="3"/>
    </x:row>
    <x:row r="20" ht="34" customHeight="1">
      <x:c r="A20" s="2"/>
      <x:c r="B20" s="2"/>
      <x:c r="C20" s="2" t="str">
        <x:v>Monthly storage growth</x:v>
      </x:c>
      <x:c r="D20" s="16" t="n">
        <x:v>0</x:v>
      </x:c>
      <x:c r="E20" s="2" t="str">
        <x:v>%/month</x:v>
      </x:c>
      <x:c r="F20" s="3" t="str">
        <x:v>Independent requirement sensitivity; not inferred from billing growth.</x:v>
      </x:c>
      <x:c r="G20" s="3"/>
      <x:c r="H20" s="3"/>
      <x:c r="I20" s="3"/>
      <x:c r="J20" s="3"/>
      <x:c r="K20" s="3"/>
      <x:c r="L20" s="3"/>
    </x:row>
    <x:row r="21" ht="34" customHeight="1">
      <x:c r="A21" s="2"/>
      <x:c r="B21" s="2"/>
      <x:c r="C21" s="2" t="str">
        <x:v>Monthly bandwidth growth</x:v>
      </x:c>
      <x:c r="D21" s="16" t="n">
        <x:v>0</x:v>
      </x:c>
      <x:c r="E21" s="2" t="str">
        <x:v>%/month</x:v>
      </x:c>
      <x:c r="F21" s="3" t="str">
        <x:v>Used only when the initial bandwidth requirement is known.</x:v>
      </x:c>
      <x:c r="G21" s="3"/>
      <x:c r="H21" s="3"/>
      <x:c r="I21" s="3"/>
      <x:c r="J21" s="3"/>
      <x:c r="K21" s="3"/>
      <x:c r="L21" s="3"/>
    </x:row>
    <x:row r="22" ht="26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</x:row>
    <x:row r="23" ht="26" customHeight="1">
      <x:c r="A23" s="2"/>
      <x:c r="B23" s="2"/>
      <x:c r="C23" s="2" t="str">
        <x:v>Selected plan</x:v>
      </x:c>
      <x:c r="D23" s="2" t="str">
        <x:f>IFERROR(INDEX('Media costs'!C20:C23,D13),"n.a.")</x:f>
        <x:v>Business 60</x:v>
      </x:c>
      <x:c r="E23" s="2"/>
      <x:c r="F23" s="2"/>
      <x:c r="G23" s="2"/>
      <x:c r="H23" s="2"/>
      <x:c r="I23" s="2"/>
      <x:c r="J23" s="2"/>
      <x:c r="K23" s="2"/>
      <x:c r="L23" s="2"/>
    </x:row>
    <x:row r="24" ht="26" customHeight="1">
      <x:c r="A24" s="2"/>
      <x:c r="B24" s="2"/>
      <x:c r="C24" s="2" t="str">
        <x:v>Monthly price</x:v>
      </x:c>
      <x:c r="D24" s="2" t="n">
        <x:f>IFERROR(INDEX('Media costs'!D20:D23,D13),"n.a.")</x:f>
        <x:v>119</x:v>
      </x:c>
      <x:c r="E24" s="2"/>
      <x:c r="F24" s="2"/>
      <x:c r="G24" s="2"/>
      <x:c r="H24" s="2"/>
      <x:c r="I24" s="2"/>
      <x:c r="J24" s="2"/>
      <x:c r="K24" s="2"/>
      <x:c r="L24" s="2"/>
    </x:row>
    <x:row r="25" ht="26" customHeight="1">
      <x:c r="A25" s="2"/>
      <x:c r="B25" s="2"/>
      <x:c r="C25" s="2" t="str">
        <x:v>Annual price</x:v>
      </x:c>
      <x:c r="D25" s="2" t="n">
        <x:f>IFERROR(INDEX('Media costs'!E20:E23,D13),"n.a.")</x:f>
        <x:v>1309</x:v>
      </x:c>
      <x:c r="E25" s="2"/>
      <x:c r="F25" s="2"/>
      <x:c r="G25" s="2"/>
      <x:c r="H25" s="2"/>
      <x:c r="I25" s="2"/>
      <x:c r="J25" s="2"/>
      <x:c r="K25" s="2"/>
      <x:c r="L25" s="2"/>
    </x:row>
    <x:row r="26" ht="26" customHeight="1">
      <x:c r="A26" s="2"/>
      <x:c r="B26" s="2"/>
      <x:c r="C26" s="2" t="str">
        <x:v>Storage allowance</x:v>
      </x:c>
      <x:c r="D26" s="2" t="n">
        <x:f>IFERROR(INDEX('Media costs'!F20:F23,D13),"n.a.")</x:f>
        <x:v>60</x:v>
      </x:c>
      <x:c r="E26" s="2"/>
      <x:c r="F26" s="2"/>
      <x:c r="G26" s="2"/>
      <x:c r="H26" s="2"/>
      <x:c r="I26" s="2"/>
      <x:c r="J26" s="2"/>
      <x:c r="K26" s="2"/>
      <x:c r="L26" s="2"/>
    </x:row>
    <x:row r="27" ht="26" customHeight="1">
      <x:c r="A27" s="2"/>
      <x:c r="B27" s="2"/>
      <x:c r="C27" s="2" t="str">
        <x:v>Bandwidth allowance</x:v>
      </x:c>
      <x:c r="D27" s="2" t="n">
        <x:f>IFERROR(INDEX('Media costs'!G20:G23,D13),"n.a.")</x:f>
        <x:v>240</x:v>
      </x:c>
      <x:c r="E27" s="2"/>
      <x:c r="F27" s="2"/>
      <x:c r="G27" s="2"/>
      <x:c r="H27" s="2"/>
      <x:c r="I27" s="2"/>
      <x:c r="J27" s="2"/>
      <x:c r="K27" s="2"/>
      <x:c r="L27" s="2"/>
    </x:row>
    <x:row r="28" ht="26" customHeight="1">
      <x:c r="A28" s="2"/>
      <x:c r="B28" s="2"/>
      <x:c r="C28" s="2" t="str">
        <x:v>Input validity</x:v>
      </x:c>
      <x:c r="D28" s="2" t="str">
        <x:f>IFERROR(IF(AND(COUNT(D6:D15,D17:D21)=15,D6&gt;0,D7&gt;=0,D8&gt;=0,D8&lt;=1,D9&gt;-1,D10&gt;=0,D11&gt;=0,D12&gt;=0,D13=INT(D13),D13&gt;=1,D13&lt;=4,D14=INT(D14),D14&gt;=1,D14&lt;=2,D15&gt;=0,OR(ISBLANK(D16),AND(ISNUMBER(D16),D16&gt;=0)),D17=INT(D17),D17&gt;=0,D17&lt;=1,D18&gt;=0,D19&gt;=0,D20&gt;-1,D21&gt;-1),"Ready","Needs valid inputs"),"Needs valid inputs")</x:f>
        <x:v>Ready</x:v>
      </x:c>
      <x:c r="E28" s="2"/>
      <x:c r="F28" s="2"/>
      <x:c r="G28" s="2"/>
      <x:c r="H28" s="2"/>
      <x:c r="I28" s="2"/>
      <x:c r="J28" s="2"/>
      <x:c r="K28" s="2"/>
      <x:c r="L28" s="2"/>
    </x:row>
    <x:row r="29" ht="26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</x:row>
    <x:row r="30" ht="26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</x:row>
    <x:row r="31" ht="30" customHeight="1">
      <x:c r="A31" s="2"/>
      <x:c r="B31" s="2"/>
      <x:c r="C31" s="3" t="str">
        <x:v>Sunk development time is excluded from this forward decision. Maintenance hours represent ongoing support only. The model does not establish GAAP expense, actual staff cost or savings already realized.</x:v>
      </x:c>
      <x:c r="D31" s="3"/>
      <x:c r="E31" s="3"/>
      <x:c r="F31" s="3"/>
      <x:c r="G31" s="3"/>
      <x:c r="H31" s="3"/>
      <x:c r="I31" s="3"/>
      <x:c r="J31" s="3"/>
      <x:c r="K31" s="3"/>
      <x:c r="L31" s="3"/>
    </x:row>
    <x:row r="32" ht="30" customHeight="1">
      <x:c r="A32" s="2"/>
      <x:c r="B32" s="2"/>
      <x:c r="C32" s="3"/>
      <x:c r="D32" s="3"/>
      <x:c r="E32" s="3"/>
      <x:c r="F32" s="3"/>
      <x:c r="G32" s="3"/>
      <x:c r="H32" s="3"/>
      <x:c r="I32" s="3"/>
      <x:c r="J32" s="3"/>
      <x:c r="K32" s="3"/>
      <x:c r="L32" s="3"/>
    </x:row>
    <x:row r="33" ht="26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</x:row>
    <x:row r="34" ht="30" customHeight="1">
      <x:c r="A34" s="2"/>
      <x:c r="B34" s="2"/>
      <x:c r="C34" s="3" t="str">
        <x:v>Source status: billing observed in screenshots; prior vendor plan reported by Ricardo; future requirements, allocation and labor are assumptions. Built with AI assistance. Independent rebuild and interview explanation remain to be practiced.</x:v>
      </x:c>
      <x:c r="D34" s="3"/>
      <x:c r="E34" s="3"/>
      <x:c r="F34" s="3"/>
      <x:c r="G34" s="3"/>
      <x:c r="H34" s="3"/>
      <x:c r="I34" s="3"/>
      <x:c r="J34" s="3"/>
      <x:c r="K34" s="3"/>
      <x:c r="L34" s="3"/>
    </x:row>
    <x:row r="35" ht="30" customHeight="1">
      <x:c r="A35" s="2"/>
      <x:c r="B35" s="2"/>
      <x:c r="C35" s="3"/>
      <x:c r="D35" s="3"/>
      <x:c r="E35" s="3"/>
      <x:c r="F35" s="3"/>
      <x:c r="G35" s="3"/>
      <x:c r="H35" s="3"/>
      <x:c r="I35" s="3"/>
      <x:c r="J35" s="3"/>
      <x:c r="K35" s="3"/>
      <x:c r="L35" s="3"/>
    </x:row>
    <x:row r="36" ht="26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</x:row>
    <x:row r="37" ht="26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</x:row>
    <x:row r="38" ht="26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</x:row>
  </x:sheetData>
  <x:mergeCells>
    <x:mergeCell ref="C2:L2"/>
    <x:mergeCell ref="C3:L3"/>
    <x:mergeCell ref="F6:L6"/>
    <x:mergeCell ref="F7:L7"/>
    <x:mergeCell ref="F8:L8"/>
    <x:mergeCell ref="F9:L9"/>
    <x:mergeCell ref="F10:L10"/>
    <x:mergeCell ref="F11:L11"/>
    <x:mergeCell ref="F12:L12"/>
    <x:mergeCell ref="F13:L13"/>
    <x:mergeCell ref="F14:L14"/>
    <x:mergeCell ref="F15:L15"/>
    <x:mergeCell ref="F16:L16"/>
    <x:mergeCell ref="F17:L17"/>
    <x:mergeCell ref="F18:L18"/>
    <x:mergeCell ref="F19:L19"/>
    <x:mergeCell ref="F20:L20"/>
    <x:mergeCell ref="F21:L21"/>
    <x:mergeCell ref="C31:L32"/>
    <x:mergeCell ref="C34:L35"/>
  </x:mergeCells>
  <x:conditionalFormatting sqref="D14:D17">
    <x:cfRule type="containsText" dxfId="1" priority="1" operator="containsText" text="FAIL"/>
  </x:conditionalFormatting>
  <x:dataValidations count="14">
    <x:dataValidation type="decimal" operator="between" sqref="D10">
      <x:formula1>0</x:formula1>
      <x:formula2>1000000</x:formula2>
    </x:dataValidation>
    <x:dataValidation type="decimal" operator="between" sqref="D11">
      <x:formula1>0</x:formula1>
      <x:formula2>1000000</x:formula2>
    </x:dataValidation>
    <x:dataValidation type="decimal" operator="between" sqref="D12">
      <x:formula1>0</x:formula1>
      <x:formula2>1000000</x:formula2>
    </x:dataValidation>
    <x:dataValidation type="decimal" operator="between" sqref="D15">
      <x:formula1>0</x:formula1>
      <x:formula2>1000000</x:formula2>
    </x:dataValidation>
    <x:dataValidation type="decimal" operator="between" sqref="D16">
      <x:formula1>0</x:formula1>
      <x:formula2>1000000</x:formula2>
    </x:dataValidation>
    <x:dataValidation type="decimal" operator="between" sqref="D18">
      <x:formula1>0</x:formula1>
      <x:formula2>1000000</x:formula2>
    </x:dataValidation>
    <x:dataValidation type="decimal" operator="between" sqref="D19">
      <x:formula1>0</x:formula1>
      <x:formula2>1000000</x:formula2>
    </x:dataValidation>
    <x:dataValidation type="decimal" operator="between" sqref="D8">
      <x:formula1>0</x:formula1>
      <x:formula2>1</x:formula2>
    </x:dataValidation>
    <x:dataValidation type="decimal" operator="between" sqref="D13">
      <x:formula1>1</x:formula1>
      <x:formula2>4</x:formula2>
    </x:dataValidation>
    <x:dataValidation type="decimal" operator="between" sqref="D14">
      <x:formula1>1</x:formula1>
      <x:formula2>2</x:formula2>
    </x:dataValidation>
    <x:dataValidation type="decimal" operator="between" sqref="D17">
      <x:formula1>0</x:formula1>
      <x:formula2>1</x:formula2>
    </x:dataValidation>
    <x:dataValidation type="decimal" operator="between" sqref="D9">
      <x:formula1>-0.99</x:formula1>
      <x:formula2>10</x:formula2>
    </x:dataValidation>
    <x:dataValidation type="decimal" operator="between" sqref="D20">
      <x:formula1>-0.99</x:formula1>
      <x:formula2>10</x:formula2>
    </x:dataValidation>
    <x:dataValidation type="decimal" operator="between" sqref="D21">
      <x:formula1>-0.99</x:formula1>
      <x:formula2>10</x:formula2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.2200000286102295" hidden="0" customWidth="1"/>
    <x:col min="2" max="2" width="2.2200000286102295" hidden="0" customWidth="1"/>
    <x:col min="3" max="3" width="26.670000076293945" hidden="0" customWidth="1"/>
    <x:col min="4" max="4" width="18.889999389648438" hidden="0" customWidth="1"/>
    <x:col min="5" max="5" width="13.890000343322754" hidden="0" customWidth="1"/>
    <x:col min="6" max="6" width="18.329999923706055" hidden="0" customWidth="1"/>
    <x:col min="7" max="7" width="18.889999389648438" hidden="0" customWidth="1"/>
    <x:col min="8" max="8" width="12.220000267028809" hidden="0" customWidth="1"/>
    <x:col min="9" max="9" width="10" hidden="0" customWidth="1"/>
    <x:col min="10" max="10" width="10" hidden="0" customWidth="1"/>
    <x:col min="11" max="11" width="10" hidden="0" customWidth="1"/>
    <x:col min="12" max="12" width="10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34" customHeight="1">
      <x:c r="A2" s="2"/>
      <x:c r="B2" s="2"/>
      <x:c r="C2" s="4" t="str">
        <x:v>Giraux billing evidence</x:v>
      </x:c>
      <x:c r="D2" s="4"/>
      <x:c r="E2" s="4"/>
      <x:c r="F2" s="4"/>
      <x:c r="G2" s="4"/>
      <x:c r="H2" s="4"/>
      <x:c r="I2" s="4"/>
      <x:c r="J2" s="4"/>
      <x:c r="K2" s="4"/>
      <x:c r="L2" s="4"/>
    </x:row>
    <x:row r="3" ht="30" customHeight="1">
      <x:c r="A3" s="2"/>
      <x:c r="B3" s="2"/>
      <x:c r="C3" s="3" t="str">
        <x:v>Observed invoice totals and advertised vendor plans, supplied October 14, 2026. USD.</x:v>
      </x:c>
      <x:c r="D3" s="3"/>
      <x:c r="E3" s="3"/>
      <x:c r="F3" s="3"/>
      <x:c r="G3" s="3"/>
      <x:c r="H3" s="3"/>
      <x:c r="I3" s="3"/>
      <x:c r="J3" s="3"/>
      <x:c r="K3" s="3"/>
      <x:c r="L3" s="3"/>
    </x:row>
    <x:row r="4" ht="26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</x:row>
    <x:row r="5" ht="26" customHeight="1">
      <x:c r="A5" s="2"/>
      <x:c r="B5" s="2"/>
      <x:c r="C5" s="7" t="str">
        <x:v>Invoice date</x:v>
      </x:c>
      <x:c r="D5" s="7" t="str">
        <x:v>Public row ID</x:v>
      </x:c>
      <x:c r="E5" s="7" t="str">
        <x:v>Invoice total</x:v>
      </x:c>
      <x:c r="F5" s="7" t="str">
        <x:v>Status</x:v>
      </x:c>
      <x:c r="G5" s="7" t="str">
        <x:v>Service period</x:v>
      </x:c>
      <x:c r="H5" s="2"/>
      <x:c r="I5" s="2"/>
      <x:c r="J5" s="2"/>
      <x:c r="K5" s="2"/>
      <x:c r="L5" s="2"/>
    </x:row>
    <x:row r="6" ht="26" customHeight="1">
      <x:c r="A6" s="2"/>
      <x:c r="B6" s="2"/>
      <x:c r="C6" s="8" t="n">
        <x:v>46091</x:v>
      </x:c>
      <x:c r="D6" s="2" t="str">
        <x:v>ROW-1</x:v>
      </x:c>
      <x:c r="E6" s="9" t="n">
        <x:v>0</x:v>
      </x:c>
      <x:c r="F6" s="2" t="str">
        <x:v>Paid</x:v>
      </x:c>
      <x:c r="G6" s="2" t="str">
        <x:v>Not shown</x:v>
      </x:c>
      <x:c r="H6" s="2"/>
      <x:c r="I6" s="2"/>
      <x:c r="J6" s="2"/>
      <x:c r="K6" s="2"/>
      <x:c r="L6" s="2"/>
    </x:row>
    <x:row r="7" ht="26" customHeight="1">
      <x:c r="A7" s="2"/>
      <x:c r="B7" s="2"/>
      <x:c r="C7" s="8" t="n">
        <x:v>46122</x:v>
      </x:c>
      <x:c r="D7" s="2" t="str">
        <x:v>ROW-2</x:v>
      </x:c>
      <x:c r="E7" s="9" t="n">
        <x:v>0.69</x:v>
      </x:c>
      <x:c r="F7" s="2" t="str">
        <x:v>Paid</x:v>
      </x:c>
      <x:c r="G7" s="2" t="str">
        <x:v>Not shown</x:v>
      </x:c>
      <x:c r="H7" s="2"/>
      <x:c r="I7" s="2"/>
      <x:c r="J7" s="2"/>
      <x:c r="K7" s="2"/>
      <x:c r="L7" s="2"/>
    </x:row>
    <x:row r="8" ht="26" customHeight="1">
      <x:c r="A8" s="2"/>
      <x:c r="B8" s="2"/>
      <x:c r="C8" s="8" t="n">
        <x:v>46152</x:v>
      </x:c>
      <x:c r="D8" s="2" t="str">
        <x:v>ROW-3</x:v>
      </x:c>
      <x:c r="E8" s="9" t="n">
        <x:v>0.57</x:v>
      </x:c>
      <x:c r="F8" s="2" t="str">
        <x:v>Paid</x:v>
      </x:c>
      <x:c r="G8" s="2" t="str">
        <x:v>Not shown</x:v>
      </x:c>
      <x:c r="H8" s="2"/>
      <x:c r="I8" s="2"/>
      <x:c r="J8" s="2"/>
      <x:c r="K8" s="2"/>
      <x:c r="L8" s="2"/>
    </x:row>
    <x:row r="9" ht="26" customHeight="1">
      <x:c r="A9" s="2"/>
      <x:c r="B9" s="2"/>
      <x:c r="C9" s="8" t="n">
        <x:v>46177</x:v>
      </x:c>
      <x:c r="D9" s="2" t="str">
        <x:v>ROW-4</x:v>
      </x:c>
      <x:c r="E9" s="9" t="n">
        <x:v>0.81</x:v>
      </x:c>
      <x:c r="F9" s="2" t="str">
        <x:v>Paid</x:v>
      </x:c>
      <x:c r="G9" s="2" t="str">
        <x:v>Not shown</x:v>
      </x:c>
      <x:c r="H9" s="2"/>
      <x:c r="I9" s="2"/>
      <x:c r="J9" s="2"/>
      <x:c r="K9" s="2"/>
      <x:c r="L9" s="2"/>
    </x:row>
    <x:row r="10" ht="26" customHeight="1">
      <x:c r="A10" s="2"/>
      <x:c r="B10" s="2"/>
      <x:c r="C10" s="8" t="n">
        <x:v>46183</x:v>
      </x:c>
      <x:c r="D10" s="2" t="str">
        <x:v>ROW-5</x:v>
      </x:c>
      <x:c r="E10" s="9" t="n">
        <x:v>11.69</x:v>
      </x:c>
      <x:c r="F10" s="2" t="str">
        <x:v>Paid</x:v>
      </x:c>
      <x:c r="G10" s="2" t="str">
        <x:v>Not shown</x:v>
      </x:c>
      <x:c r="H10" s="2"/>
      <x:c r="I10" s="2"/>
      <x:c r="J10" s="2"/>
      <x:c r="K10" s="2"/>
      <x:c r="L10" s="2"/>
    </x:row>
    <x:row r="11" ht="26" customHeight="1">
      <x:c r="A11" s="2"/>
      <x:c r="B11" s="2"/>
      <x:c r="C11" s="8" t="n">
        <x:v>46213</x:v>
      </x:c>
      <x:c r="D11" s="2" t="str">
        <x:v>ROW-6</x:v>
      </x:c>
      <x:c r="E11" s="9" t="n">
        <x:v>5.72</x:v>
      </x:c>
      <x:c r="F11" s="2" t="str">
        <x:v>Paid</x:v>
      </x:c>
      <x:c r="G11" s="2" t="str">
        <x:v>Not shown</x:v>
      </x:c>
      <x:c r="H11" s="2"/>
      <x:c r="I11" s="2"/>
      <x:c r="J11" s="2"/>
      <x:c r="K11" s="2"/>
      <x:c r="L11" s="2"/>
    </x:row>
    <x:row r="12" ht="26" customHeight="1">
      <x:c r="A12" s="2"/>
      <x:c r="B12" s="2"/>
      <x:c r="C12" s="8" t="n">
        <x:v>46244</x:v>
      </x:c>
      <x:c r="D12" s="2" t="str">
        <x:v>ROW-7</x:v>
      </x:c>
      <x:c r="E12" s="9" t="n">
        <x:v>6.78</x:v>
      </x:c>
      <x:c r="F12" s="2" t="str">
        <x:v>Paid</x:v>
      </x:c>
      <x:c r="G12" s="2" t="str">
        <x:v>Not shown</x:v>
      </x:c>
      <x:c r="H12" s="2"/>
      <x:c r="I12" s="2"/>
      <x:c r="J12" s="2"/>
      <x:c r="K12" s="2"/>
      <x:c r="L12" s="2"/>
    </x:row>
    <x:row r="13" ht="26" customHeight="1">
      <x:c r="A13" s="2"/>
      <x:c r="B13" s="2"/>
      <x:c r="C13" s="8" t="n">
        <x:v>46275</x:v>
      </x:c>
      <x:c r="D13" s="2" t="str">
        <x:v>ROW-8</x:v>
      </x:c>
      <x:c r="E13" s="9" t="n">
        <x:v>5.93</x:v>
      </x:c>
      <x:c r="F13" s="2" t="str">
        <x:v>Paid</x:v>
      </x:c>
      <x:c r="G13" s="2" t="str">
        <x:v>Not shown</x:v>
      </x:c>
      <x:c r="H13" s="2"/>
      <x:c r="I13" s="2"/>
      <x:c r="J13" s="2"/>
      <x:c r="K13" s="2"/>
      <x:c r="L13" s="2"/>
    </x:row>
    <x:row r="14" ht="26" customHeight="1">
      <x:c r="A14" s="2"/>
      <x:c r="B14" s="2"/>
      <x:c r="C14" s="8" t="n">
        <x:v>46305</x:v>
      </x:c>
      <x:c r="D14" s="2" t="str">
        <x:v>ROW-9</x:v>
      </x:c>
      <x:c r="E14" s="9" t="n">
        <x:v>6.35</x:v>
      </x:c>
      <x:c r="F14" s="2" t="str">
        <x:v>Paid</x:v>
      </x:c>
      <x:c r="G14" s="2" t="str">
        <x:v>Not shown</x:v>
      </x:c>
      <x:c r="H14" s="2"/>
      <x:c r="I14" s="2"/>
      <x:c r="J14" s="2"/>
      <x:c r="K14" s="2"/>
      <x:c r="L14" s="2"/>
    </x:row>
    <x:row r="15" ht="26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</x:row>
    <x:row r="16" ht="29" customHeight="1">
      <x:c r="A16" s="2"/>
      <x:c r="B16" s="2"/>
      <x:c r="C16" s="3" t="str">
        <x:v>Source: Ricardo-supplied Cloudflare billing screenshot. Dates are invoice issue dates. Product allocation, taxes and service periods are unverified. Invoice identifiers are removed from this public copy.</x:v>
      </x:c>
      <x:c r="D16" s="3"/>
      <x:c r="E16" s="3"/>
      <x:c r="F16" s="3"/>
      <x:c r="G16" s="3"/>
      <x:c r="H16" s="3"/>
      <x:c r="I16" s="3"/>
      <x:c r="J16" s="3"/>
      <x:c r="K16" s="3"/>
      <x:c r="L16" s="3"/>
    </x:row>
    <x:row r="17" ht="29" customHeight="1">
      <x:c r="A17" s="2"/>
      <x:c r="B17" s="2"/>
      <x:c r="C17" s="3"/>
      <x:c r="D17" s="3"/>
      <x:c r="E17" s="3"/>
      <x:c r="F17" s="3"/>
      <x:c r="G17" s="3"/>
      <x:c r="H17" s="3"/>
      <x:c r="I17" s="3"/>
      <x:c r="J17" s="3"/>
      <x:c r="K17" s="3"/>
      <x:c r="L17" s="3"/>
    </x:row>
    <x:row r="18" ht="26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</x:row>
    <x:row r="19" ht="26" customHeight="1">
      <x:c r="A19" s="2"/>
      <x:c r="B19" s="2"/>
      <x:c r="C19" s="7" t="str">
        <x:v>Sirv plan</x:v>
      </x:c>
      <x:c r="D19" s="7" t="str">
        <x:v>Monthly price</x:v>
      </x:c>
      <x:c r="E19" s="7" t="str">
        <x:v>Annual price</x:v>
      </x:c>
      <x:c r="F19" s="7" t="str">
        <x:v>Storage GB</x:v>
      </x:c>
      <x:c r="G19" s="7" t="str">
        <x:v>Bandwidth GB</x:v>
      </x:c>
      <x:c r="H19" s="2"/>
      <x:c r="I19" s="2"/>
      <x:c r="J19" s="2"/>
      <x:c r="K19" s="2"/>
      <x:c r="L19" s="2"/>
    </x:row>
    <x:row r="20" ht="26" customHeight="1">
      <x:c r="A20" s="2"/>
      <x:c r="B20" s="2"/>
      <x:c r="C20" s="2" t="str">
        <x:v>Business 12</x:v>
      </x:c>
      <x:c r="D20" s="9" t="n">
        <x:v>39</x:v>
      </x:c>
      <x:c r="E20" s="9" t="n">
        <x:v>429</x:v>
      </x:c>
      <x:c r="F20" s="2" t="n">
        <x:v>12</x:v>
      </x:c>
      <x:c r="G20" s="2" t="n">
        <x:v>48</x:v>
      </x:c>
      <x:c r="H20" s="2"/>
      <x:c r="I20" s="2"/>
      <x:c r="J20" s="2"/>
      <x:c r="K20" s="2"/>
      <x:c r="L20" s="2"/>
    </x:row>
    <x:row r="21" ht="26" customHeight="1">
      <x:c r="A21" s="2"/>
      <x:c r="B21" s="2"/>
      <x:c r="C21" s="2" t="str">
        <x:v>Business 20</x:v>
      </x:c>
      <x:c r="D21" s="9" t="n">
        <x:v>59</x:v>
      </x:c>
      <x:c r="E21" s="9" t="n">
        <x:v>649</x:v>
      </x:c>
      <x:c r="F21" s="2" t="n">
        <x:v>20</x:v>
      </x:c>
      <x:c r="G21" s="2" t="n">
        <x:v>80</x:v>
      </x:c>
      <x:c r="H21" s="2"/>
      <x:c r="I21" s="2"/>
      <x:c r="J21" s="2"/>
      <x:c r="K21" s="2"/>
      <x:c r="L21" s="2"/>
    </x:row>
    <x:row r="22" ht="26" customHeight="1">
      <x:c r="A22" s="2"/>
      <x:c r="B22" s="2"/>
      <x:c r="C22" s="2" t="str">
        <x:v>Business 40</x:v>
      </x:c>
      <x:c r="D22" s="9" t="n">
        <x:v>89</x:v>
      </x:c>
      <x:c r="E22" s="9" t="n">
        <x:v>979</x:v>
      </x:c>
      <x:c r="F22" s="2" t="n">
        <x:v>40</x:v>
      </x:c>
      <x:c r="G22" s="2" t="n">
        <x:v>160</x:v>
      </x:c>
      <x:c r="H22" s="2"/>
      <x:c r="I22" s="2"/>
      <x:c r="J22" s="2"/>
      <x:c r="K22" s="2"/>
      <x:c r="L22" s="2"/>
    </x:row>
    <x:row r="23" ht="26" customHeight="1">
      <x:c r="A23" s="2"/>
      <x:c r="B23" s="2"/>
      <x:c r="C23" s="2" t="str">
        <x:v>Business 60</x:v>
      </x:c>
      <x:c r="D23" s="9" t="n">
        <x:v>119</x:v>
      </x:c>
      <x:c r="E23" s="9" t="n">
        <x:v>1309</x:v>
      </x:c>
      <x:c r="F23" s="2" t="n">
        <x:v>60</x:v>
      </x:c>
      <x:c r="G23" s="2" t="n">
        <x:v>240</x:v>
      </x:c>
      <x:c r="H23" s="2"/>
      <x:c r="I23" s="2"/>
      <x:c r="J23" s="2"/>
      <x:c r="K23" s="2"/>
      <x:c r="L23" s="2"/>
    </x:row>
    <x:row r="24" ht="26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</x:row>
    <x:row r="25" ht="29" customHeight="1">
      <x:c r="A25" s="2"/>
      <x:c r="B25" s="2"/>
      <x:c r="C25" s="3" t="str">
        <x:v>Source: Ricardo-supplied Sirv plan screenshot. He reported a $59/month plan and imminent $89/month upgrade; Sirv invoices are unavailable. Pricing alone does not establish equivalent service. https://sirv.com/pricing/</x:v>
      </x:c>
      <x:c r="D25" s="3"/>
      <x:c r="E25" s="3"/>
      <x:c r="F25" s="3"/>
      <x:c r="G25" s="3"/>
      <x:c r="H25" s="3"/>
      <x:c r="I25" s="3"/>
      <x:c r="J25" s="3"/>
      <x:c r="K25" s="3"/>
      <x:c r="L25" s="3"/>
    </x:row>
    <x:row r="26" ht="29" customHeight="1">
      <x:c r="A26" s="2"/>
      <x:c r="B26" s="2"/>
      <x:c r="C26" s="3"/>
      <x:c r="D26" s="3"/>
      <x:c r="E26" s="3"/>
      <x:c r="F26" s="3"/>
      <x:c r="G26" s="3"/>
      <x:c r="H26" s="3"/>
      <x:c r="I26" s="3"/>
      <x:c r="J26" s="3"/>
      <x:c r="K26" s="3"/>
      <x:c r="L26" s="3"/>
    </x:row>
    <x:row r="27" ht="26" customHeight="1">
      <x:c r="A27" s="2"/>
      <x:c r="B27" s="2"/>
      <x:c r="C27" s="7" t="str">
        <x:v>Comparison</x:v>
      </x:c>
      <x:c r="D27" s="7" t="str">
        <x:v>Value</x:v>
      </x:c>
      <x:c r="E27" s="2"/>
      <x:c r="F27" s="2"/>
      <x:c r="G27" s="2"/>
      <x:c r="H27" s="2"/>
      <x:c r="I27" s="2"/>
      <x:c r="J27" s="2"/>
      <x:c r="K27" s="2"/>
      <x:c r="L27" s="2"/>
    </x:row>
    <x:row r="28" ht="26" customHeight="1">
      <x:c r="A28" s="2"/>
      <x:c r="B28" s="2"/>
      <x:c r="C28" s="2" t="str">
        <x:v>Visible invoice total</x:v>
      </x:c>
      <x:c r="D28" s="9" t="n">
        <x:f>SUM(E6:E14)</x:f>
        <x:v>38.54</x:v>
      </x:c>
      <x:c r="E28" s="2"/>
      <x:c r="F28" s="2"/>
      <x:c r="G28" s="2"/>
      <x:c r="H28" s="2"/>
      <x:c r="I28" s="2"/>
      <x:c r="J28" s="2"/>
      <x:c r="K28" s="2"/>
      <x:c r="L28" s="2"/>
    </x:row>
    <x:row r="29" ht="26" customHeight="1">
      <x:c r="A29" s="2"/>
      <x:c r="B29" s="2"/>
      <x:c r="C29" s="2" t="str">
        <x:v>July to October total</x:v>
      </x:c>
      <x:c r="D29" s="9" t="n">
        <x:f>SUM(E11:E14)</x:f>
        <x:v>24.78</x:v>
      </x:c>
      <x:c r="E29" s="2"/>
      <x:c r="F29" s="2"/>
      <x:c r="G29" s="2"/>
      <x:c r="H29" s="2"/>
      <x:c r="I29" s="2"/>
      <x:c r="J29" s="2"/>
      <x:c r="K29" s="2"/>
      <x:c r="L29" s="2"/>
    </x:row>
    <x:row r="30" ht="26" customHeight="1">
      <x:c r="A30" s="2"/>
      <x:c r="B30" s="2"/>
      <x:c r="C30" s="2" t="str">
        <x:v>July to October mean</x:v>
      </x:c>
      <x:c r="D30" s="9" t="n">
        <x:f>AVERAGE(E11:E14)</x:f>
        <x:v>6.195</x:v>
      </x:c>
      <x:c r="E30" s="2"/>
      <x:c r="F30" s="2"/>
      <x:c r="G30" s="2"/>
      <x:c r="H30" s="2"/>
      <x:c r="I30" s="2"/>
      <x:c r="J30" s="2"/>
      <x:c r="K30" s="2"/>
      <x:c r="L30" s="2"/>
    </x:row>
    <x:row r="31" ht="26" customHeight="1">
      <x:c r="A31" s="2"/>
      <x:c r="B31" s="2"/>
      <x:c r="C31" s="2" t="str">
        <x:v>Monthly price gap</x:v>
      </x:c>
      <x:c r="D31" s="9" t="n">
        <x:f>D22-D30</x:f>
        <x:v>82.805</x:v>
      </x:c>
      <x:c r="E31" s="2"/>
      <x:c r="F31" s="2"/>
      <x:c r="G31" s="2"/>
      <x:c r="H31" s="2"/>
      <x:c r="I31" s="2"/>
      <x:c r="J31" s="2"/>
      <x:c r="K31" s="2"/>
      <x:c r="L31" s="2"/>
    </x:row>
    <x:row r="32" ht="26" customHeight="1">
      <x:c r="A32" s="2"/>
      <x:c r="B32" s="2"/>
      <x:c r="C32" s="2" t="str">
        <x:v>Billing below planned price</x:v>
      </x:c>
      <x:c r="D32" s="10" t="n">
        <x:f>1-D30/D22</x:f>
        <x:v>0.9303932584269663</x:v>
      </x:c>
      <x:c r="E32" s="2"/>
      <x:c r="F32" s="2"/>
      <x:c r="G32" s="2"/>
      <x:c r="H32" s="2"/>
      <x:c r="I32" s="2"/>
      <x:c r="J32" s="2"/>
      <x:c r="K32" s="2"/>
      <x:c r="L32" s="2"/>
    </x:row>
    <x:row r="33" ht="26" customHeight="1">
      <x:c r="A33" s="2"/>
      <x:c r="B33" s="2"/>
      <x:c r="C33" s="2" t="str">
        <x:v>Annualized monthly-plan gap</x:v>
      </x:c>
      <x:c r="D33" s="9" t="n">
        <x:f>(D22-D30)*12</x:f>
        <x:v>993.6600000000001</x:v>
      </x:c>
      <x:c r="E33" s="2"/>
      <x:c r="F33" s="2"/>
      <x:c r="G33" s="2"/>
      <x:c r="H33" s="2"/>
      <x:c r="I33" s="2"/>
      <x:c r="J33" s="2"/>
      <x:c r="K33" s="2"/>
      <x:c r="L33" s="2"/>
    </x:row>
    <x:row r="34" ht="26" customHeight="1">
      <x:c r="A34" s="2"/>
      <x:c r="B34" s="2"/>
      <x:c r="C34" s="2" t="str">
        <x:v>Annual-plan gap</x:v>
      </x:c>
      <x:c r="D34" s="9" t="n">
        <x:f>E22-D30*12</x:f>
        <x:v>904.66</x:v>
      </x:c>
      <x:c r="E34" s="2"/>
      <x:c r="F34" s="2"/>
      <x:c r="G34" s="2"/>
      <x:c r="H34" s="2"/>
      <x:c r="I34" s="2"/>
      <x:c r="J34" s="2"/>
      <x:c r="K34" s="2"/>
      <x:c r="L34" s="2"/>
    </x:row>
    <x:row r="35" ht="26" customHeight="1">
      <x:c r="A35" s="2"/>
      <x:c r="B35" s="2"/>
      <x:c r="C35" s="2" t="str">
        <x:v>Gap versus prior monthly price</x:v>
      </x:c>
      <x:c r="D35" s="9" t="n">
        <x:f>D21-D30</x:f>
        <x:v>52.805</x:v>
      </x:c>
      <x:c r="E35" s="2"/>
      <x:c r="F35" s="2"/>
      <x:c r="G35" s="2"/>
      <x:c r="H35" s="2"/>
      <x:c r="I35" s="2"/>
      <x:c r="J35" s="2"/>
      <x:c r="K35" s="2"/>
      <x:c r="L35" s="2"/>
    </x:row>
    <x:row r="36" ht="26" customHeight="1">
      <x:c r="A36" s="2"/>
      <x:c r="B36" s="2"/>
      <x:c r="C36" s="2" t="str">
        <x:v>June invoice total</x:v>
      </x:c>
      <x:c r="D36" s="9" t="n">
        <x:f>SUM(E9:E10)</x:f>
        <x:v>12.5</x:v>
      </x:c>
      <x:c r="E36" s="2"/>
      <x:c r="F36" s="2"/>
      <x:c r="G36" s="2"/>
      <x:c r="H36" s="2"/>
      <x:c r="I36" s="2"/>
      <x:c r="J36" s="2"/>
      <x:c r="K36" s="2"/>
      <x:c r="L36" s="2"/>
    </x:row>
    <x:row r="37" ht="26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</x:row>
    <x:row r="38" ht="26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</x:row>
    <x:row r="39" ht="30" customHeight="1">
      <x:c r="A39" s="2"/>
      <x:c r="B39" s="2"/>
      <x:c r="C39" s="3" t="str">
        <x:v>The 93.0% comparison uses the four recent invoice totals and the planned $89 monthly price. It excludes development and maintenance. The $979 annual alternative is separate. The 46 GB migration inventory is not current GB-month usage.</x:v>
      </x:c>
      <x:c r="D39" s="3"/>
      <x:c r="E39" s="3"/>
      <x:c r="F39" s="3"/>
      <x:c r="G39" s="3"/>
      <x:c r="H39" s="3"/>
      <x:c r="I39" s="3"/>
      <x:c r="J39" s="3"/>
      <x:c r="K39" s="3"/>
      <x:c r="L39" s="3"/>
    </x:row>
    <x:row r="40" ht="30" customHeight="1">
      <x:c r="A40" s="2"/>
      <x:c r="B40" s="2"/>
      <x:c r="C40" s="3"/>
      <x:c r="D40" s="3"/>
      <x:c r="E40" s="3"/>
      <x:c r="F40" s="3"/>
      <x:c r="G40" s="3"/>
      <x:c r="H40" s="3"/>
      <x:c r="I40" s="3"/>
      <x:c r="J40" s="3"/>
      <x:c r="K40" s="3"/>
      <x:c r="L40" s="3"/>
    </x:row>
    <x:row r="41" ht="26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</x:row>
    <x:row r="42" ht="26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</x:row>
    <x:row r="43" ht="26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</x:row>
    <x:row r="44" ht="26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</x:row>
    <x:row r="45" ht="26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</x:row>
    <x:row r="46" ht="26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</x:row>
    <x:row r="47" ht="26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</x:row>
    <x:row r="48" ht="26" customHeight="1">
      <x:c r="A48" s="2"/>
      <x:c r="B48" s="2"/>
      <x:c r="C48" s="7" t="str">
        <x:v>SQL issue-month ledger</x:v>
      </x:c>
      <x:c r="D48" s="7" t="str">
        <x:v>Invoice count</x:v>
      </x:c>
      <x:c r="E48" s="7" t="str">
        <x:v>Total USD</x:v>
      </x:c>
      <x:c r="F48" s="2"/>
      <x:c r="G48" s="2"/>
      <x:c r="H48" s="2"/>
      <x:c r="I48" s="2"/>
      <x:c r="J48" s="2"/>
      <x:c r="K48" s="2"/>
      <x:c r="L48" s="2"/>
    </x:row>
    <x:row r="49" ht="26" customHeight="1">
      <x:c r="A49" s="2"/>
      <x:c r="B49" s="2"/>
      <x:c r="C49" s="2" t="str">
        <x:v>2026-03</x:v>
      </x:c>
      <x:c r="D49" s="2" t="n">
        <x:v>1</x:v>
      </x:c>
      <x:c r="E49" s="9" t="n">
        <x:v>0</x:v>
      </x:c>
      <x:c r="F49" s="2"/>
      <x:c r="G49" s="2"/>
      <x:c r="H49" s="2"/>
      <x:c r="I49" s="2"/>
      <x:c r="J49" s="2"/>
      <x:c r="K49" s="2"/>
      <x:c r="L49" s="2"/>
    </x:row>
    <x:row r="50" ht="26" customHeight="1">
      <x:c r="A50" s="2"/>
      <x:c r="B50" s="2"/>
      <x:c r="C50" s="2" t="str">
        <x:v>2026-04</x:v>
      </x:c>
      <x:c r="D50" s="2" t="n">
        <x:v>1</x:v>
      </x:c>
      <x:c r="E50" s="9" t="n">
        <x:v>0.69</x:v>
      </x:c>
      <x:c r="F50" s="2"/>
      <x:c r="G50" s="2"/>
      <x:c r="H50" s="2"/>
      <x:c r="I50" s="2"/>
      <x:c r="J50" s="2"/>
      <x:c r="K50" s="2"/>
      <x:c r="L50" s="2"/>
    </x:row>
    <x:row r="51" ht="26" customHeight="1">
      <x:c r="A51" s="2"/>
      <x:c r="B51" s="2"/>
      <x:c r="C51" s="2" t="str">
        <x:v>2026-05</x:v>
      </x:c>
      <x:c r="D51" s="2" t="n">
        <x:v>1</x:v>
      </x:c>
      <x:c r="E51" s="9" t="n">
        <x:v>0.57</x:v>
      </x:c>
      <x:c r="F51" s="2"/>
      <x:c r="G51" s="2"/>
      <x:c r="H51" s="2"/>
      <x:c r="I51" s="2"/>
      <x:c r="J51" s="2"/>
      <x:c r="K51" s="2"/>
      <x:c r="L51" s="2"/>
    </x:row>
    <x:row r="52" ht="26" customHeight="1">
      <x:c r="A52" s="2"/>
      <x:c r="B52" s="2"/>
      <x:c r="C52" s="2" t="str">
        <x:v>2026-06</x:v>
      </x:c>
      <x:c r="D52" s="2" t="n">
        <x:v>2</x:v>
      </x:c>
      <x:c r="E52" s="9" t="n">
        <x:v>12.5</x:v>
      </x:c>
      <x:c r="F52" s="2"/>
      <x:c r="G52" s="2"/>
      <x:c r="H52" s="2"/>
      <x:c r="I52" s="2"/>
      <x:c r="J52" s="2"/>
      <x:c r="K52" s="2"/>
      <x:c r="L52" s="2"/>
    </x:row>
    <x:row r="53" ht="26" customHeight="1">
      <x:c r="A53" s="2"/>
      <x:c r="B53" s="2"/>
      <x:c r="C53" s="2" t="str">
        <x:v>2026-07</x:v>
      </x:c>
      <x:c r="D53" s="2" t="n">
        <x:v>1</x:v>
      </x:c>
      <x:c r="E53" s="9" t="n">
        <x:v>5.72</x:v>
      </x:c>
      <x:c r="F53" s="2"/>
      <x:c r="G53" s="2"/>
      <x:c r="H53" s="2"/>
      <x:c r="I53" s="2"/>
      <x:c r="J53" s="2"/>
      <x:c r="K53" s="2"/>
      <x:c r="L53" s="2"/>
    </x:row>
    <x:row r="54" ht="26" customHeight="1">
      <x:c r="A54" s="2"/>
      <x:c r="B54" s="2"/>
      <x:c r="C54" s="2" t="str">
        <x:v>2026-08</x:v>
      </x:c>
      <x:c r="D54" s="2" t="n">
        <x:v>1</x:v>
      </x:c>
      <x:c r="E54" s="9" t="n">
        <x:v>6.78</x:v>
      </x:c>
      <x:c r="F54" s="2"/>
      <x:c r="G54" s="2"/>
      <x:c r="H54" s="2"/>
      <x:c r="I54" s="2"/>
      <x:c r="J54" s="2"/>
      <x:c r="K54" s="2"/>
      <x:c r="L54" s="2"/>
    </x:row>
    <x:row r="55" ht="26" customHeight="1">
      <x:c r="A55" s="2"/>
      <x:c r="B55" s="2"/>
      <x:c r="C55" s="2" t="str">
        <x:v>2026-09</x:v>
      </x:c>
      <x:c r="D55" s="2" t="n">
        <x:v>1</x:v>
      </x:c>
      <x:c r="E55" s="9" t="n">
        <x:v>5.93</x:v>
      </x:c>
      <x:c r="F55" s="2"/>
      <x:c r="G55" s="2"/>
      <x:c r="H55" s="2"/>
      <x:c r="I55" s="2"/>
      <x:c r="J55" s="2"/>
      <x:c r="K55" s="2"/>
      <x:c r="L55" s="2"/>
    </x:row>
    <x:row r="56" ht="26" customHeight="1">
      <x:c r="A56" s="2"/>
      <x:c r="B56" s="2"/>
      <x:c r="C56" s="2" t="str">
        <x:v>2026-10</x:v>
      </x:c>
      <x:c r="D56" s="2" t="n">
        <x:v>1</x:v>
      </x:c>
      <x:c r="E56" s="9" t="n">
        <x:v>6.35</x:v>
      </x:c>
      <x:c r="F56" s="2"/>
      <x:c r="G56" s="2"/>
      <x:c r="H56" s="2"/>
      <x:c r="I56" s="2"/>
      <x:c r="J56" s="2"/>
      <x:c r="K56" s="2"/>
      <x:c r="L56" s="2"/>
    </x:row>
    <x:row r="57" ht="26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</x:row>
  </x:sheetData>
  <x:mergeCells>
    <x:mergeCell ref="C2:L2"/>
    <x:mergeCell ref="C3:L3"/>
    <x:mergeCell ref="C16:L17"/>
    <x:mergeCell ref="C25:L26"/>
    <x:mergeCell ref="C39:L40"/>
  </x:mergeCells>
  <x:pageMargins left="0.7" right="0.7" top="0.75" bottom="0.75" header="0.3" footer="0.3"/>
</x:worksheet>
</file>